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\Documents\WebRD\UCSS\I\Dupuy\"/>
    </mc:Choice>
  </mc:AlternateContent>
  <xr:revisionPtr revIDLastSave="0" documentId="13_ncr:1_{D5319713-484D-4DA2-A2AA-0C9A55E77905}" xr6:coauthVersionLast="47" xr6:coauthVersionMax="47" xr10:uidLastSave="{00000000-0000-0000-0000-000000000000}"/>
  <bookViews>
    <workbookView xWindow="0" yWindow="580" windowWidth="17290" windowHeight="9500" tabRatio="762" activeTab="7" xr2:uid="{626F0FAB-95EB-4B47-B8B3-598F73A72E3B}"/>
  </bookViews>
  <sheets>
    <sheet name="Compilation" sheetId="1" r:id="rId1"/>
    <sheet name="Abréviations" sheetId="9" r:id="rId2"/>
    <sheet name="Objets" sheetId="12" r:id="rId3"/>
    <sheet name="Assiettes" sheetId="14" r:id="rId4"/>
    <sheet name="ArgDor" sheetId="18" r:id="rId5"/>
    <sheet name="$CAN" sheetId="13" r:id="rId6"/>
    <sheet name="Vd" sheetId="16" r:id="rId7"/>
    <sheet name="Acheteurs" sheetId="11" r:id="rId8"/>
    <sheet name="Marc" sheetId="2" r:id="rId9"/>
    <sheet name="pdf" sheetId="15" r:id="rId10"/>
    <sheet name="#dv" sheetId="17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1" l="1"/>
  <c r="B36" i="16"/>
  <c r="A36" i="16"/>
  <c r="S6" i="1" l="1"/>
  <c r="Z47" i="1"/>
  <c r="H8" i="18"/>
  <c r="H5" i="18"/>
  <c r="H4" i="18"/>
  <c r="H3" i="18"/>
  <c r="H6" i="18"/>
  <c r="H7" i="18"/>
  <c r="J3" i="14"/>
  <c r="J4" i="14"/>
  <c r="J5" i="14"/>
  <c r="J6" i="14"/>
  <c r="J7" i="14"/>
  <c r="J8" i="14"/>
  <c r="J9" i="14"/>
  <c r="J2" i="14"/>
  <c r="D10" i="14"/>
  <c r="I10" i="14"/>
  <c r="I3" i="14"/>
  <c r="I4" i="14"/>
  <c r="I5" i="14"/>
  <c r="I6" i="14"/>
  <c r="I7" i="14"/>
  <c r="I8" i="14"/>
  <c r="I9" i="14"/>
  <c r="I2" i="14"/>
  <c r="B10" i="14"/>
  <c r="C10" i="14"/>
  <c r="A10" i="14"/>
  <c r="A36" i="17"/>
  <c r="C5" i="17"/>
  <c r="D5" i="17"/>
  <c r="E5" i="17"/>
  <c r="F5" i="17"/>
  <c r="G5" i="17"/>
  <c r="H5" i="17"/>
  <c r="C2" i="17"/>
  <c r="D2" i="17"/>
  <c r="E2" i="17"/>
  <c r="F2" i="17"/>
  <c r="G2" i="17"/>
  <c r="H2" i="17"/>
  <c r="C9" i="17"/>
  <c r="D9" i="17"/>
  <c r="E9" i="17"/>
  <c r="F9" i="17"/>
  <c r="G9" i="17"/>
  <c r="H9" i="17"/>
  <c r="D35" i="17"/>
  <c r="E35" i="17"/>
  <c r="F35" i="17"/>
  <c r="H35" i="17"/>
  <c r="C6" i="17"/>
  <c r="D6" i="17"/>
  <c r="E6" i="17"/>
  <c r="F6" i="17"/>
  <c r="G6" i="17"/>
  <c r="H6" i="17"/>
  <c r="C22" i="17"/>
  <c r="D22" i="17"/>
  <c r="E22" i="17"/>
  <c r="F22" i="17"/>
  <c r="G22" i="17"/>
  <c r="H22" i="17"/>
  <c r="C31" i="17"/>
  <c r="D31" i="17"/>
  <c r="E31" i="17"/>
  <c r="F31" i="17"/>
  <c r="G31" i="17"/>
  <c r="H31" i="17"/>
  <c r="C25" i="17"/>
  <c r="D25" i="17"/>
  <c r="E25" i="17"/>
  <c r="F25" i="17"/>
  <c r="G25" i="17"/>
  <c r="H25" i="17"/>
  <c r="C21" i="17"/>
  <c r="D21" i="17"/>
  <c r="E21" i="17"/>
  <c r="F21" i="17"/>
  <c r="G21" i="17"/>
  <c r="H21" i="17"/>
  <c r="C13" i="17"/>
  <c r="D13" i="17"/>
  <c r="E13" i="17"/>
  <c r="F13" i="17"/>
  <c r="G13" i="17"/>
  <c r="H13" i="17"/>
  <c r="C32" i="17"/>
  <c r="D32" i="17"/>
  <c r="E32" i="17"/>
  <c r="F32" i="17"/>
  <c r="G32" i="17"/>
  <c r="H32" i="17"/>
  <c r="C10" i="17"/>
  <c r="D10" i="17"/>
  <c r="E10" i="17"/>
  <c r="F10" i="17"/>
  <c r="G10" i="17"/>
  <c r="H10" i="17"/>
  <c r="C3" i="17"/>
  <c r="D3" i="17"/>
  <c r="E3" i="17"/>
  <c r="F3" i="17"/>
  <c r="G3" i="17"/>
  <c r="H3" i="17"/>
  <c r="C7" i="17"/>
  <c r="D7" i="17"/>
  <c r="E7" i="17"/>
  <c r="F7" i="17"/>
  <c r="G7" i="17"/>
  <c r="H7" i="17"/>
  <c r="C11" i="17"/>
  <c r="D11" i="17"/>
  <c r="E11" i="17"/>
  <c r="F11" i="17"/>
  <c r="G11" i="17"/>
  <c r="H11" i="17"/>
  <c r="C33" i="17"/>
  <c r="D33" i="17"/>
  <c r="E33" i="17"/>
  <c r="F33" i="17"/>
  <c r="G33" i="17"/>
  <c r="H33" i="17"/>
  <c r="C16" i="17"/>
  <c r="D16" i="17"/>
  <c r="E16" i="17"/>
  <c r="F16" i="17"/>
  <c r="G16" i="17"/>
  <c r="H16" i="17"/>
  <c r="C28" i="17"/>
  <c r="D28" i="17"/>
  <c r="E28" i="17"/>
  <c r="F28" i="17"/>
  <c r="G28" i="17"/>
  <c r="H28" i="17"/>
  <c r="C34" i="17"/>
  <c r="D34" i="17"/>
  <c r="E34" i="17"/>
  <c r="F34" i="17"/>
  <c r="G34" i="17"/>
  <c r="H34" i="17"/>
  <c r="C27" i="17"/>
  <c r="D27" i="17"/>
  <c r="E27" i="17"/>
  <c r="F27" i="17"/>
  <c r="G27" i="17"/>
  <c r="H27" i="17"/>
  <c r="D26" i="17"/>
  <c r="F26" i="17"/>
  <c r="H26" i="17"/>
  <c r="C23" i="17"/>
  <c r="D23" i="17"/>
  <c r="E23" i="17"/>
  <c r="F23" i="17"/>
  <c r="G23" i="17"/>
  <c r="H23" i="17"/>
  <c r="C17" i="17"/>
  <c r="D17" i="17"/>
  <c r="E17" i="17"/>
  <c r="F17" i="17"/>
  <c r="G17" i="17"/>
  <c r="H17" i="17"/>
  <c r="C12" i="17"/>
  <c r="D12" i="17"/>
  <c r="E12" i="17"/>
  <c r="F12" i="17"/>
  <c r="G12" i="17"/>
  <c r="H12" i="17"/>
  <c r="C24" i="17"/>
  <c r="D24" i="17"/>
  <c r="E24" i="17"/>
  <c r="F24" i="17"/>
  <c r="G24" i="17"/>
  <c r="H24" i="17"/>
  <c r="C30" i="17"/>
  <c r="D30" i="17"/>
  <c r="E30" i="17"/>
  <c r="F30" i="17"/>
  <c r="G30" i="17"/>
  <c r="H30" i="17"/>
  <c r="C18" i="17"/>
  <c r="D18" i="17"/>
  <c r="E18" i="17"/>
  <c r="F18" i="17"/>
  <c r="G18" i="17"/>
  <c r="H18" i="17"/>
  <c r="C19" i="17"/>
  <c r="D19" i="17"/>
  <c r="E19" i="17"/>
  <c r="F19" i="17"/>
  <c r="G19" i="17"/>
  <c r="H19" i="17"/>
  <c r="C20" i="17"/>
  <c r="D20" i="17"/>
  <c r="E20" i="17"/>
  <c r="F20" i="17"/>
  <c r="G20" i="17"/>
  <c r="H20" i="17"/>
  <c r="C14" i="17"/>
  <c r="D14" i="17"/>
  <c r="E14" i="17"/>
  <c r="F14" i="17"/>
  <c r="G14" i="17"/>
  <c r="H14" i="17"/>
  <c r="C8" i="17"/>
  <c r="D8" i="17"/>
  <c r="E8" i="17"/>
  <c r="F8" i="17"/>
  <c r="G8" i="17"/>
  <c r="H8" i="17"/>
  <c r="C29" i="17"/>
  <c r="D29" i="17"/>
  <c r="E29" i="17"/>
  <c r="F29" i="17"/>
  <c r="G29" i="17"/>
  <c r="H29" i="17"/>
  <c r="C4" i="17"/>
  <c r="D4" i="17"/>
  <c r="E4" i="17"/>
  <c r="F4" i="17"/>
  <c r="G4" i="17"/>
  <c r="H4" i="17"/>
  <c r="H15" i="17"/>
  <c r="H1" i="17"/>
  <c r="Z3" i="1"/>
  <c r="Z4" i="1"/>
  <c r="Z5" i="1"/>
  <c r="Z6" i="1"/>
  <c r="Z7" i="1"/>
  <c r="Z8" i="1"/>
  <c r="Z9" i="1"/>
  <c r="D33" i="11" s="1"/>
  <c r="Z10" i="1"/>
  <c r="D22" i="11" s="1"/>
  <c r="Z11" i="1"/>
  <c r="D23" i="11" s="1"/>
  <c r="Z12" i="1"/>
  <c r="Z13" i="1"/>
  <c r="D35" i="11" s="1"/>
  <c r="Z14" i="1"/>
  <c r="Z15" i="1"/>
  <c r="D5" i="11" s="1"/>
  <c r="Z16" i="1"/>
  <c r="D34" i="11" s="1"/>
  <c r="Z17" i="1"/>
  <c r="D8" i="11" s="1"/>
  <c r="Z18" i="1"/>
  <c r="D19" i="11" s="1"/>
  <c r="Z19" i="1"/>
  <c r="D12" i="11" s="1"/>
  <c r="Z20" i="1"/>
  <c r="D26" i="11" s="1"/>
  <c r="Z21" i="1"/>
  <c r="D28" i="11" s="1"/>
  <c r="Z22" i="1"/>
  <c r="D25" i="11" s="1"/>
  <c r="Z23" i="1"/>
  <c r="Z24" i="1"/>
  <c r="Z25" i="1"/>
  <c r="Z26" i="1"/>
  <c r="Z27" i="1"/>
  <c r="Z28" i="1"/>
  <c r="Z29" i="1"/>
  <c r="D6" i="11" s="1"/>
  <c r="Z30" i="1"/>
  <c r="D3" i="11" s="1"/>
  <c r="Z31" i="1"/>
  <c r="D4" i="11" s="1"/>
  <c r="Z32" i="1"/>
  <c r="Z33" i="1"/>
  <c r="D7" i="11" s="1"/>
  <c r="Z34" i="1"/>
  <c r="D17" i="11" s="1"/>
  <c r="Z35" i="1"/>
  <c r="D27" i="11" s="1"/>
  <c r="Z2" i="1"/>
  <c r="D11" i="11" s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2" i="1"/>
  <c r="D15" i="17"/>
  <c r="H2" i="1"/>
  <c r="B32" i="9"/>
  <c r="B31" i="9"/>
  <c r="C1" i="17"/>
  <c r="G1" i="17"/>
  <c r="F1" i="17"/>
  <c r="E1" i="17"/>
  <c r="D1" i="17"/>
  <c r="V11" i="1"/>
  <c r="C23" i="11" s="1"/>
  <c r="AA37" i="1"/>
  <c r="AE37" i="1"/>
  <c r="AD37" i="1"/>
  <c r="C26" i="16"/>
  <c r="C19" i="16"/>
  <c r="C2" i="16"/>
  <c r="C23" i="16"/>
  <c r="C35" i="16"/>
  <c r="C34" i="16"/>
  <c r="C7" i="16"/>
  <c r="C5" i="16"/>
  <c r="C6" i="16"/>
  <c r="C8" i="16"/>
  <c r="C33" i="16"/>
  <c r="C24" i="16"/>
  <c r="C3" i="16"/>
  <c r="C20" i="16"/>
  <c r="C10" i="16"/>
  <c r="C14" i="16"/>
  <c r="C27" i="16"/>
  <c r="C4" i="16"/>
  <c r="C15" i="16"/>
  <c r="C13" i="16"/>
  <c r="C11" i="16"/>
  <c r="C12" i="16"/>
  <c r="C28" i="16"/>
  <c r="C29" i="16"/>
  <c r="C30" i="16"/>
  <c r="C31" i="16"/>
  <c r="C32" i="16"/>
  <c r="C25" i="16"/>
  <c r="C16" i="16"/>
  <c r="C17" i="16"/>
  <c r="C22" i="16"/>
  <c r="C21" i="16"/>
  <c r="C9" i="16"/>
  <c r="C18" i="16"/>
  <c r="D1" i="16"/>
  <c r="C1" i="16"/>
  <c r="B1" i="16"/>
  <c r="A1" i="16"/>
  <c r="A35" i="15"/>
  <c r="C35" i="15"/>
  <c r="A15" i="15"/>
  <c r="C15" i="15"/>
  <c r="A16" i="15"/>
  <c r="C16" i="15"/>
  <c r="A7" i="15"/>
  <c r="C7" i="15"/>
  <c r="A25" i="15"/>
  <c r="C25" i="15"/>
  <c r="A26" i="15"/>
  <c r="C26" i="15"/>
  <c r="A13" i="15"/>
  <c r="C13" i="15"/>
  <c r="A27" i="15"/>
  <c r="C27" i="15"/>
  <c r="A22" i="15"/>
  <c r="C22" i="15"/>
  <c r="A8" i="15"/>
  <c r="C8" i="15"/>
  <c r="A28" i="15"/>
  <c r="C28" i="15"/>
  <c r="A29" i="15"/>
  <c r="C29" i="15"/>
  <c r="A17" i="15"/>
  <c r="C17" i="15"/>
  <c r="A18" i="15"/>
  <c r="C18" i="15"/>
  <c r="A9" i="15"/>
  <c r="C9" i="15"/>
  <c r="A10" i="15"/>
  <c r="C10" i="15"/>
  <c r="A5" i="15"/>
  <c r="C5" i="15"/>
  <c r="A14" i="15"/>
  <c r="C14" i="15"/>
  <c r="A3" i="15"/>
  <c r="C3" i="15"/>
  <c r="A23" i="15"/>
  <c r="C23" i="15"/>
  <c r="A4" i="15"/>
  <c r="C4" i="15"/>
  <c r="A6" i="15"/>
  <c r="C6" i="15"/>
  <c r="A30" i="15"/>
  <c r="C30" i="15"/>
  <c r="A19" i="15"/>
  <c r="C19" i="15"/>
  <c r="A32" i="15"/>
  <c r="C32" i="15"/>
  <c r="A33" i="15"/>
  <c r="C33" i="15"/>
  <c r="A34" i="15"/>
  <c r="C34" i="15"/>
  <c r="A11" i="15"/>
  <c r="C11" i="15"/>
  <c r="A20" i="15"/>
  <c r="C20" i="15"/>
  <c r="A21" i="15"/>
  <c r="C21" i="15"/>
  <c r="A31" i="15"/>
  <c r="C31" i="15"/>
  <c r="A2" i="15"/>
  <c r="C2" i="15"/>
  <c r="A24" i="15"/>
  <c r="C24" i="15"/>
  <c r="A12" i="15"/>
  <c r="C12" i="15"/>
  <c r="C1" i="15"/>
  <c r="B1" i="15"/>
  <c r="A1" i="15"/>
  <c r="B35" i="9"/>
  <c r="B21" i="9"/>
  <c r="B30" i="9"/>
  <c r="B29" i="9"/>
  <c r="B28" i="9"/>
  <c r="B27" i="9"/>
  <c r="B26" i="9"/>
  <c r="B25" i="9"/>
  <c r="B24" i="9"/>
  <c r="B23" i="9"/>
  <c r="B22" i="9"/>
  <c r="B20" i="9"/>
  <c r="B19" i="9"/>
  <c r="B18" i="9"/>
  <c r="B17" i="9"/>
  <c r="B16" i="9"/>
  <c r="B15" i="9"/>
  <c r="B14" i="9"/>
  <c r="B13" i="9"/>
  <c r="B12" i="9"/>
  <c r="B11" i="9"/>
  <c r="B10" i="9"/>
  <c r="B9" i="9"/>
  <c r="B7" i="9"/>
  <c r="B6" i="9"/>
  <c r="B5" i="9"/>
  <c r="B4" i="9"/>
  <c r="B3" i="9"/>
  <c r="B2" i="9"/>
  <c r="E39" i="13"/>
  <c r="E40" i="13"/>
  <c r="E41" i="13"/>
  <c r="E43" i="13"/>
  <c r="E37" i="13"/>
  <c r="A41" i="13"/>
  <c r="A42" i="13"/>
  <c r="A44" i="13"/>
  <c r="A40" i="13"/>
  <c r="E7" i="13"/>
  <c r="E21" i="13"/>
  <c r="E27" i="13"/>
  <c r="E26" i="13"/>
  <c r="E31" i="13"/>
  <c r="E30" i="13"/>
  <c r="E32" i="13"/>
  <c r="E33" i="13"/>
  <c r="E34" i="13"/>
  <c r="E35" i="13"/>
  <c r="E29" i="13"/>
  <c r="E28" i="13"/>
  <c r="E22" i="13"/>
  <c r="E23" i="13"/>
  <c r="E25" i="13"/>
  <c r="E11" i="13"/>
  <c r="E16" i="13"/>
  <c r="E12" i="13"/>
  <c r="E17" i="13"/>
  <c r="E18" i="13"/>
  <c r="E19" i="13"/>
  <c r="E2" i="13"/>
  <c r="E3" i="13"/>
  <c r="E4" i="13"/>
  <c r="E5" i="13"/>
  <c r="E10" i="13"/>
  <c r="E13" i="13"/>
  <c r="E8" i="13"/>
  <c r="E9" i="13"/>
  <c r="E24" i="13"/>
  <c r="E20" i="13"/>
  <c r="E14" i="13"/>
  <c r="E15" i="13"/>
  <c r="E6" i="13"/>
  <c r="B1" i="13"/>
  <c r="A1" i="13"/>
  <c r="A37" i="13"/>
  <c r="A39" i="13"/>
  <c r="C39" i="13"/>
  <c r="D39" i="13"/>
  <c r="C41" i="13"/>
  <c r="D41" i="13"/>
  <c r="C43" i="13"/>
  <c r="D43" i="13"/>
  <c r="C45" i="13"/>
  <c r="D45" i="13"/>
  <c r="C47" i="13"/>
  <c r="D47" i="13"/>
  <c r="D37" i="13"/>
  <c r="C37" i="13"/>
  <c r="D1" i="13"/>
  <c r="C1" i="13"/>
  <c r="E1" i="13"/>
  <c r="M41" i="1"/>
  <c r="M40" i="1"/>
  <c r="B9" i="12"/>
  <c r="B14" i="12"/>
  <c r="B15" i="12"/>
  <c r="B4" i="12"/>
  <c r="B8" i="12"/>
  <c r="B10" i="12"/>
  <c r="B16" i="12"/>
  <c r="B17" i="12"/>
  <c r="B11" i="12"/>
  <c r="B5" i="12"/>
  <c r="B18" i="12"/>
  <c r="B19" i="12"/>
  <c r="B6" i="12"/>
  <c r="B3" i="12"/>
  <c r="B7" i="12"/>
  <c r="B12" i="12"/>
  <c r="B13" i="12"/>
  <c r="A1" i="12"/>
  <c r="B1" i="12"/>
  <c r="G1" i="11"/>
  <c r="D1" i="11"/>
  <c r="G15" i="11"/>
  <c r="G31" i="11"/>
  <c r="G32" i="11"/>
  <c r="B15" i="11"/>
  <c r="B14" i="11"/>
  <c r="B13" i="11"/>
  <c r="B12" i="11"/>
  <c r="B26" i="11"/>
  <c r="B32" i="11"/>
  <c r="B11" i="11"/>
  <c r="B10" i="11"/>
  <c r="B23" i="11"/>
  <c r="B25" i="11"/>
  <c r="B28" i="11"/>
  <c r="B18" i="11"/>
  <c r="B27" i="11"/>
  <c r="B9" i="11"/>
  <c r="B34" i="11"/>
  <c r="B22" i="11"/>
  <c r="B8" i="11"/>
  <c r="B7" i="11"/>
  <c r="B6" i="11"/>
  <c r="B31" i="11"/>
  <c r="B19" i="11"/>
  <c r="B30" i="11"/>
  <c r="B29" i="11"/>
  <c r="B24" i="11"/>
  <c r="B35" i="11"/>
  <c r="B5" i="11"/>
  <c r="B4" i="11"/>
  <c r="B3" i="11"/>
  <c r="B2" i="11"/>
  <c r="B20" i="11"/>
  <c r="B17" i="11"/>
  <c r="B16" i="11"/>
  <c r="B21" i="11"/>
  <c r="B33" i="11"/>
  <c r="E1" i="11"/>
  <c r="C1" i="11"/>
  <c r="B1" i="11"/>
  <c r="V37" i="1"/>
  <c r="AB37" i="1"/>
  <c r="V3" i="1"/>
  <c r="C20" i="11" s="1"/>
  <c r="V4" i="1"/>
  <c r="C29" i="11" s="1"/>
  <c r="V5" i="1"/>
  <c r="C14" i="11" s="1"/>
  <c r="V6" i="1"/>
  <c r="C32" i="11" s="1"/>
  <c r="V7" i="1"/>
  <c r="C31" i="11" s="1"/>
  <c r="V8" i="1"/>
  <c r="C21" i="11" s="1"/>
  <c r="V9" i="1"/>
  <c r="C33" i="11" s="1"/>
  <c r="V10" i="1"/>
  <c r="C22" i="11" s="1"/>
  <c r="V12" i="1"/>
  <c r="C15" i="11" s="1"/>
  <c r="V13" i="1"/>
  <c r="C35" i="11" s="1"/>
  <c r="V14" i="1"/>
  <c r="C30" i="11" s="1"/>
  <c r="V15" i="1"/>
  <c r="C5" i="11" s="1"/>
  <c r="V16" i="1"/>
  <c r="C34" i="11" s="1"/>
  <c r="V17" i="1"/>
  <c r="C8" i="11" s="1"/>
  <c r="V18" i="1"/>
  <c r="C19" i="11" s="1"/>
  <c r="V19" i="1"/>
  <c r="C12" i="11" s="1"/>
  <c r="V20" i="1"/>
  <c r="C26" i="11" s="1"/>
  <c r="V21" i="1"/>
  <c r="C28" i="11" s="1"/>
  <c r="V22" i="1"/>
  <c r="C25" i="11" s="1"/>
  <c r="V23" i="1"/>
  <c r="C24" i="11" s="1"/>
  <c r="V24" i="1"/>
  <c r="C18" i="11" s="1"/>
  <c r="V25" i="1"/>
  <c r="C2" i="11" s="1"/>
  <c r="V26" i="1"/>
  <c r="C16" i="11" s="1"/>
  <c r="V27" i="1"/>
  <c r="C10" i="11" s="1"/>
  <c r="V28" i="1"/>
  <c r="C9" i="11" s="1"/>
  <c r="V29" i="1"/>
  <c r="C6" i="11" s="1"/>
  <c r="V30" i="1"/>
  <c r="C3" i="11" s="1"/>
  <c r="V31" i="1"/>
  <c r="C4" i="11" s="1"/>
  <c r="V32" i="1"/>
  <c r="C13" i="11" s="1"/>
  <c r="V33" i="1"/>
  <c r="C7" i="11" s="1"/>
  <c r="V34" i="1"/>
  <c r="C17" i="11" s="1"/>
  <c r="V35" i="1"/>
  <c r="C27" i="11" s="1"/>
  <c r="V2" i="1"/>
  <c r="C11" i="11" s="1"/>
  <c r="C21" i="1"/>
  <c r="A19" i="12" s="1"/>
  <c r="C20" i="1"/>
  <c r="A18" i="12" s="1"/>
  <c r="C37" i="1"/>
  <c r="C34" i="1"/>
  <c r="A13" i="12" s="1"/>
  <c r="C33" i="1"/>
  <c r="A12" i="12" s="1"/>
  <c r="C32" i="1"/>
  <c r="A7" i="12" s="1"/>
  <c r="C24" i="1"/>
  <c r="A3" i="12" s="1"/>
  <c r="C22" i="1"/>
  <c r="A6" i="12" s="1"/>
  <c r="C19" i="1"/>
  <c r="A5" i="12" s="1"/>
  <c r="C14" i="1"/>
  <c r="A10" i="12" s="1"/>
  <c r="C15" i="1"/>
  <c r="A16" i="12" s="1"/>
  <c r="C16" i="1"/>
  <c r="A17" i="12" s="1"/>
  <c r="C17" i="1"/>
  <c r="A11" i="12" s="1"/>
  <c r="C13" i="1"/>
  <c r="A8" i="12" s="1"/>
  <c r="C8" i="1"/>
  <c r="A2" i="12" s="1"/>
  <c r="C6" i="1"/>
  <c r="A4" i="12" s="1"/>
  <c r="C5" i="1"/>
  <c r="A15" i="12" s="1"/>
  <c r="C4" i="1"/>
  <c r="A14" i="12" s="1"/>
  <c r="C2" i="1"/>
  <c r="A9" i="12" s="1"/>
  <c r="A41" i="1"/>
  <c r="B37" i="1"/>
  <c r="D37" i="1"/>
  <c r="E37" i="1"/>
  <c r="F37" i="1"/>
  <c r="H37" i="1"/>
  <c r="I37" i="1"/>
  <c r="J37" i="1"/>
  <c r="K37" i="1"/>
  <c r="L37" i="1"/>
  <c r="M37" i="1"/>
  <c r="N37" i="1"/>
  <c r="O37" i="1"/>
  <c r="P37" i="1"/>
  <c r="Q37" i="1"/>
  <c r="R37" i="1"/>
  <c r="S37" i="1"/>
  <c r="W37" i="1"/>
  <c r="X37" i="1"/>
  <c r="Y37" i="1"/>
  <c r="Z37" i="1"/>
  <c r="U37" i="1"/>
  <c r="AC37" i="1"/>
  <c r="T37" i="1"/>
  <c r="A37" i="1"/>
  <c r="B38" i="1"/>
  <c r="E36" i="13" s="1"/>
  <c r="D38" i="1"/>
  <c r="E38" i="1"/>
  <c r="F38" i="1"/>
  <c r="N38" i="1"/>
  <c r="O38" i="1"/>
  <c r="Q38" i="1"/>
  <c r="R38" i="1"/>
  <c r="W38" i="1"/>
  <c r="X38" i="1"/>
  <c r="Y38" i="1"/>
  <c r="U38" i="1"/>
  <c r="C36" i="15" s="1"/>
  <c r="AC38" i="1"/>
  <c r="T38" i="1"/>
  <c r="A36" i="15" s="1"/>
  <c r="L40" i="1"/>
  <c r="L41" i="1"/>
  <c r="C53" i="13" s="1"/>
  <c r="D53" i="13" s="1"/>
  <c r="D20" i="11"/>
  <c r="D29" i="11"/>
  <c r="D14" i="11"/>
  <c r="D32" i="11"/>
  <c r="D31" i="11"/>
  <c r="D21" i="11"/>
  <c r="D15" i="11"/>
  <c r="D30" i="11"/>
  <c r="D24" i="11"/>
  <c r="D18" i="11"/>
  <c r="D2" i="11"/>
  <c r="D16" i="11"/>
  <c r="D10" i="11"/>
  <c r="D9" i="11"/>
  <c r="D13" i="11"/>
  <c r="S3" i="1"/>
  <c r="A19" i="16" s="1"/>
  <c r="S4" i="1"/>
  <c r="A2" i="16" s="1"/>
  <c r="S5" i="1"/>
  <c r="A23" i="16" s="1"/>
  <c r="A35" i="16"/>
  <c r="S7" i="1"/>
  <c r="A34" i="16" s="1"/>
  <c r="S8" i="1"/>
  <c r="A7" i="16" s="1"/>
  <c r="S9" i="1"/>
  <c r="A5" i="16" s="1"/>
  <c r="S10" i="1"/>
  <c r="A6" i="16" s="1"/>
  <c r="S11" i="1"/>
  <c r="A8" i="16" s="1"/>
  <c r="S12" i="1"/>
  <c r="A33" i="16" s="1"/>
  <c r="S13" i="1"/>
  <c r="A24" i="16" s="1"/>
  <c r="S14" i="1"/>
  <c r="A3" i="16" s="1"/>
  <c r="S15" i="1"/>
  <c r="A20" i="16" s="1"/>
  <c r="S16" i="1"/>
  <c r="A10" i="16" s="1"/>
  <c r="S17" i="1"/>
  <c r="A14" i="16" s="1"/>
  <c r="S18" i="1"/>
  <c r="A27" i="16" s="1"/>
  <c r="S19" i="1"/>
  <c r="A4" i="16" s="1"/>
  <c r="S20" i="1"/>
  <c r="A15" i="16" s="1"/>
  <c r="S21" i="1"/>
  <c r="A13" i="16" s="1"/>
  <c r="S22" i="1"/>
  <c r="A11" i="16" s="1"/>
  <c r="S23" i="1"/>
  <c r="A12" i="16" s="1"/>
  <c r="S24" i="1"/>
  <c r="A28" i="16" s="1"/>
  <c r="S25" i="1"/>
  <c r="A29" i="16" s="1"/>
  <c r="S26" i="1"/>
  <c r="A30" i="16" s="1"/>
  <c r="S27" i="1"/>
  <c r="A31" i="16" s="1"/>
  <c r="S28" i="1"/>
  <c r="A32" i="16" s="1"/>
  <c r="S29" i="1"/>
  <c r="A25" i="16" s="1"/>
  <c r="S30" i="1"/>
  <c r="A16" i="16" s="1"/>
  <c r="S31" i="1"/>
  <c r="A17" i="16" s="1"/>
  <c r="S32" i="1"/>
  <c r="A22" i="16" s="1"/>
  <c r="S33" i="1"/>
  <c r="A21" i="16" s="1"/>
  <c r="S34" i="1"/>
  <c r="A9" i="16" s="1"/>
  <c r="S35" i="1"/>
  <c r="A18" i="16" s="1"/>
  <c r="S2" i="1"/>
  <c r="A26" i="16" s="1"/>
  <c r="P3" i="1"/>
  <c r="P4" i="1"/>
  <c r="P5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2" i="1"/>
  <c r="AD6" i="1" l="1"/>
  <c r="E26" i="17"/>
  <c r="F15" i="17"/>
  <c r="E15" i="17"/>
  <c r="AD2" i="1"/>
  <c r="G15" i="17" s="1"/>
  <c r="AD25" i="1"/>
  <c r="AD24" i="1"/>
  <c r="AD26" i="1"/>
  <c r="AD5" i="1"/>
  <c r="AD4" i="1"/>
  <c r="AD23" i="1"/>
  <c r="G26" i="17" s="1"/>
  <c r="AD3" i="1"/>
  <c r="AD22" i="1"/>
  <c r="AD19" i="1"/>
  <c r="AD20" i="1"/>
  <c r="AD18" i="1"/>
  <c r="AD17" i="1"/>
  <c r="AD21" i="1"/>
  <c r="AD27" i="1"/>
  <c r="AD7" i="1"/>
  <c r="AD33" i="1"/>
  <c r="AD13" i="1"/>
  <c r="AD32" i="1"/>
  <c r="AD12" i="1"/>
  <c r="AD30" i="1"/>
  <c r="AD10" i="1"/>
  <c r="B20" i="12"/>
  <c r="AD29" i="1"/>
  <c r="AD9" i="1"/>
  <c r="AD16" i="1"/>
  <c r="AD15" i="1"/>
  <c r="AD28" i="1"/>
  <c r="AD8" i="1"/>
  <c r="AD14" i="1"/>
  <c r="AD31" i="1"/>
  <c r="AD34" i="1"/>
  <c r="AD35" i="1"/>
  <c r="AD11" i="1"/>
  <c r="G38" i="1"/>
  <c r="AA21" i="1"/>
  <c r="B17" i="13" s="1"/>
  <c r="B24" i="15"/>
  <c r="B17" i="15"/>
  <c r="AA20" i="1"/>
  <c r="B12" i="13" s="1"/>
  <c r="B33" i="15"/>
  <c r="B26" i="15"/>
  <c r="B17" i="16"/>
  <c r="B30" i="16"/>
  <c r="B13" i="16"/>
  <c r="B10" i="16"/>
  <c r="B8" i="16"/>
  <c r="B35" i="16"/>
  <c r="AA19" i="1"/>
  <c r="B16" i="13" s="1"/>
  <c r="C37" i="15"/>
  <c r="B3" i="15"/>
  <c r="AA18" i="1"/>
  <c r="B11" i="13" s="1"/>
  <c r="B2" i="15"/>
  <c r="B29" i="15"/>
  <c r="AA17" i="1"/>
  <c r="A37" i="15"/>
  <c r="B32" i="15"/>
  <c r="B25" i="15"/>
  <c r="AA2" i="1"/>
  <c r="B6" i="13" s="1"/>
  <c r="AA16" i="1"/>
  <c r="B23" i="13" s="1"/>
  <c r="B14" i="15"/>
  <c r="B18" i="16"/>
  <c r="B16" i="16"/>
  <c r="B29" i="16"/>
  <c r="B15" i="16"/>
  <c r="B20" i="16"/>
  <c r="B6" i="16"/>
  <c r="B23" i="16"/>
  <c r="AA35" i="1"/>
  <c r="B15" i="13" s="1"/>
  <c r="AA15" i="1"/>
  <c r="B22" i="13" s="1"/>
  <c r="C52" i="13"/>
  <c r="D52" i="13" s="1"/>
  <c r="B31" i="15"/>
  <c r="B28" i="15"/>
  <c r="AA34" i="1"/>
  <c r="B14" i="13" s="1"/>
  <c r="AA14" i="1"/>
  <c r="B28" i="13" s="1"/>
  <c r="B19" i="15"/>
  <c r="B7" i="15"/>
  <c r="A20" i="12"/>
  <c r="AA33" i="1"/>
  <c r="B20" i="13" s="1"/>
  <c r="AA13" i="1"/>
  <c r="B29" i="13" s="1"/>
  <c r="B5" i="15"/>
  <c r="AA32" i="1"/>
  <c r="B24" i="13" s="1"/>
  <c r="AA12" i="1"/>
  <c r="B35" i="13" s="1"/>
  <c r="B21" i="15"/>
  <c r="B8" i="15"/>
  <c r="B9" i="16"/>
  <c r="B25" i="16"/>
  <c r="B28" i="16"/>
  <c r="B4" i="16"/>
  <c r="B3" i="16"/>
  <c r="B5" i="16"/>
  <c r="B2" i="16"/>
  <c r="AA31" i="1"/>
  <c r="B9" i="13" s="1"/>
  <c r="AA11" i="1"/>
  <c r="B34" i="13" s="1"/>
  <c r="B30" i="15"/>
  <c r="B16" i="15"/>
  <c r="AA30" i="1"/>
  <c r="B8" i="13" s="1"/>
  <c r="AA10" i="1"/>
  <c r="B33" i="13" s="1"/>
  <c r="B10" i="15"/>
  <c r="AA29" i="1"/>
  <c r="B13" i="13" s="1"/>
  <c r="AA9" i="1"/>
  <c r="B32" i="13" s="1"/>
  <c r="B20" i="15"/>
  <c r="B22" i="15"/>
  <c r="AA28" i="1"/>
  <c r="B10" i="13" s="1"/>
  <c r="AA8" i="1"/>
  <c r="B30" i="13" s="1"/>
  <c r="B6" i="15"/>
  <c r="B15" i="15"/>
  <c r="B21" i="16"/>
  <c r="B32" i="16"/>
  <c r="B12" i="16"/>
  <c r="B27" i="16"/>
  <c r="B24" i="16"/>
  <c r="B7" i="16"/>
  <c r="B19" i="16"/>
  <c r="AA27" i="1"/>
  <c r="B5" i="13" s="1"/>
  <c r="AA7" i="1"/>
  <c r="B31" i="13" s="1"/>
  <c r="B9" i="15"/>
  <c r="AA26" i="1"/>
  <c r="B4" i="13" s="1"/>
  <c r="AA6" i="1"/>
  <c r="B26" i="13" s="1"/>
  <c r="B11" i="15"/>
  <c r="B27" i="15"/>
  <c r="AA25" i="1"/>
  <c r="B3" i="13" s="1"/>
  <c r="AA5" i="1"/>
  <c r="B27" i="13" s="1"/>
  <c r="B4" i="15"/>
  <c r="B35" i="15"/>
  <c r="AA24" i="1"/>
  <c r="B2" i="13" s="1"/>
  <c r="AA4" i="1"/>
  <c r="B21" i="13" s="1"/>
  <c r="B12" i="15"/>
  <c r="B18" i="15"/>
  <c r="B22" i="16"/>
  <c r="B31" i="16"/>
  <c r="B11" i="16"/>
  <c r="B14" i="16"/>
  <c r="B33" i="16"/>
  <c r="B34" i="16"/>
  <c r="B26" i="16"/>
  <c r="AA23" i="1"/>
  <c r="B19" i="13" s="1"/>
  <c r="AA3" i="1"/>
  <c r="B7" i="13" s="1"/>
  <c r="B34" i="15"/>
  <c r="B13" i="15"/>
  <c r="AA22" i="1"/>
  <c r="B18" i="13" s="1"/>
  <c r="B23" i="15"/>
  <c r="D36" i="11"/>
  <c r="S41" i="1"/>
  <c r="P43" i="1"/>
  <c r="C41" i="1"/>
  <c r="P45" i="1"/>
  <c r="S43" i="1"/>
  <c r="S45" i="1"/>
  <c r="C38" i="1"/>
  <c r="V38" i="1"/>
  <c r="B36" i="15" s="1"/>
  <c r="Z38" i="1"/>
  <c r="B36" i="13" s="1"/>
  <c r="S38" i="1"/>
  <c r="P38" i="1"/>
  <c r="Z41" i="1"/>
  <c r="E38" i="13" s="1"/>
  <c r="A38" i="1"/>
  <c r="H7" i="1"/>
  <c r="H13" i="1"/>
  <c r="AB13" i="1" s="1"/>
  <c r="D24" i="16" s="1"/>
  <c r="H6" i="1"/>
  <c r="AB6" i="1" s="1"/>
  <c r="D35" i="16" s="1"/>
  <c r="H24" i="1"/>
  <c r="AB24" i="1" s="1"/>
  <c r="D28" i="16" s="1"/>
  <c r="H32" i="1"/>
  <c r="AB32" i="1" s="1"/>
  <c r="D22" i="16" s="1"/>
  <c r="H26" i="1"/>
  <c r="H27" i="1"/>
  <c r="H28" i="1"/>
  <c r="AB2" i="1"/>
  <c r="D26" i="16" s="1"/>
  <c r="H22" i="1"/>
  <c r="AB22" i="1" s="1"/>
  <c r="D11" i="16" s="1"/>
  <c r="H18" i="1"/>
  <c r="AB18" i="1" s="1"/>
  <c r="D27" i="16" s="1"/>
  <c r="H23" i="1"/>
  <c r="H5" i="1"/>
  <c r="AB5" i="1" s="1"/>
  <c r="D23" i="16" s="1"/>
  <c r="H29" i="1"/>
  <c r="H35" i="1"/>
  <c r="H16" i="1"/>
  <c r="AB16" i="1" s="1"/>
  <c r="D10" i="16" s="1"/>
  <c r="H17" i="1"/>
  <c r="AB17" i="1" s="1"/>
  <c r="D14" i="16" s="1"/>
  <c r="H11" i="1"/>
  <c r="H8" i="1"/>
  <c r="AB8" i="1" s="1"/>
  <c r="D7" i="16" s="1"/>
  <c r="H19" i="1"/>
  <c r="H30" i="1"/>
  <c r="H31" i="1"/>
  <c r="H25" i="1"/>
  <c r="H4" i="1"/>
  <c r="AB4" i="1" s="1"/>
  <c r="D2" i="16" s="1"/>
  <c r="H3" i="1"/>
  <c r="H15" i="1"/>
  <c r="AB15" i="1" s="1"/>
  <c r="D20" i="16" s="1"/>
  <c r="H14" i="1"/>
  <c r="AB14" i="1" s="1"/>
  <c r="D3" i="16" s="1"/>
  <c r="H34" i="1"/>
  <c r="AB34" i="1" s="1"/>
  <c r="D9" i="16" s="1"/>
  <c r="H21" i="1"/>
  <c r="AB21" i="1" s="1"/>
  <c r="D13" i="16" s="1"/>
  <c r="H10" i="1"/>
  <c r="H9" i="1"/>
  <c r="H12" i="1"/>
  <c r="H33" i="1"/>
  <c r="AB33" i="1" s="1"/>
  <c r="D21" i="16" s="1"/>
  <c r="H20" i="1"/>
  <c r="G10" i="2"/>
  <c r="B13" i="2" s="1"/>
  <c r="H9" i="2"/>
  <c r="G9" i="2"/>
  <c r="F9" i="2"/>
  <c r="E9" i="2"/>
  <c r="D9" i="2"/>
  <c r="C9" i="2"/>
  <c r="B9" i="2"/>
  <c r="A9" i="2"/>
  <c r="B7" i="2"/>
  <c r="F5" i="2"/>
  <c r="E5" i="2"/>
  <c r="D5" i="2"/>
  <c r="C5" i="2"/>
  <c r="B5" i="2"/>
  <c r="C3" i="2"/>
  <c r="D3" i="2" s="1"/>
  <c r="AE3" i="1" l="1"/>
  <c r="B5" i="17" s="1"/>
  <c r="AE2" i="1"/>
  <c r="C15" i="17" s="1"/>
  <c r="B15" i="17" s="1"/>
  <c r="AE19" i="1"/>
  <c r="B33" i="17" s="1"/>
  <c r="AE24" i="1"/>
  <c r="B24" i="17" s="1"/>
  <c r="AE25" i="1"/>
  <c r="B17" i="17" s="1"/>
  <c r="AE7" i="1"/>
  <c r="AE27" i="1"/>
  <c r="B30" i="17" s="1"/>
  <c r="AE6" i="1"/>
  <c r="AE34" i="1"/>
  <c r="B4" i="17" s="1"/>
  <c r="AE31" i="1"/>
  <c r="B20" i="17" s="1"/>
  <c r="AE17" i="1"/>
  <c r="B13" i="17" s="1"/>
  <c r="AE14" i="1"/>
  <c r="B31" i="17" s="1"/>
  <c r="AE8" i="1"/>
  <c r="B7" i="17" s="1"/>
  <c r="AE18" i="1"/>
  <c r="B16" i="17" s="1"/>
  <c r="AE28" i="1"/>
  <c r="B18" i="17" s="1"/>
  <c r="AE33" i="1"/>
  <c r="B8" i="17" s="1"/>
  <c r="AE11" i="1"/>
  <c r="B3" i="17" s="1"/>
  <c r="AE35" i="1"/>
  <c r="B29" i="17" s="1"/>
  <c r="AE32" i="1"/>
  <c r="B14" i="17" s="1"/>
  <c r="AE13" i="1"/>
  <c r="B22" i="17" s="1"/>
  <c r="AE21" i="1"/>
  <c r="B34" i="17" s="1"/>
  <c r="AE15" i="1"/>
  <c r="B25" i="17" s="1"/>
  <c r="AE20" i="1"/>
  <c r="B28" i="17" s="1"/>
  <c r="AE16" i="1"/>
  <c r="B21" i="17" s="1"/>
  <c r="AE9" i="1"/>
  <c r="B32" i="17" s="1"/>
  <c r="AE22" i="1"/>
  <c r="AE29" i="1"/>
  <c r="B12" i="17" s="1"/>
  <c r="AE23" i="1"/>
  <c r="AE10" i="1"/>
  <c r="B11" i="17" s="1"/>
  <c r="AE4" i="1"/>
  <c r="B2" i="17" s="1"/>
  <c r="AE30" i="1"/>
  <c r="B19" i="17" s="1"/>
  <c r="AE5" i="1"/>
  <c r="B9" i="17" s="1"/>
  <c r="AE12" i="1"/>
  <c r="B10" i="17" s="1"/>
  <c r="AE26" i="1"/>
  <c r="B23" i="17" s="1"/>
  <c r="AD38" i="1"/>
  <c r="B25" i="13"/>
  <c r="AA38" i="1"/>
  <c r="B37" i="15"/>
  <c r="AB9" i="1"/>
  <c r="D5" i="16" s="1"/>
  <c r="AB11" i="1"/>
  <c r="D8" i="16" s="1"/>
  <c r="AB35" i="1"/>
  <c r="D18" i="16" s="1"/>
  <c r="AB12" i="1"/>
  <c r="D33" i="16" s="1"/>
  <c r="AB27" i="1"/>
  <c r="D31" i="16" s="1"/>
  <c r="AB29" i="1"/>
  <c r="D25" i="16" s="1"/>
  <c r="I20" i="1"/>
  <c r="AB20" i="1"/>
  <c r="D15" i="16" s="1"/>
  <c r="AB23" i="1"/>
  <c r="D12" i="16" s="1"/>
  <c r="AB26" i="1"/>
  <c r="D30" i="16" s="1"/>
  <c r="AB3" i="1"/>
  <c r="D19" i="16" s="1"/>
  <c r="AB10" i="1"/>
  <c r="D6" i="16" s="1"/>
  <c r="AB25" i="1"/>
  <c r="D29" i="16" s="1"/>
  <c r="AB31" i="1"/>
  <c r="D17" i="16" s="1"/>
  <c r="AB30" i="1"/>
  <c r="D16" i="16" s="1"/>
  <c r="AB7" i="1"/>
  <c r="D34" i="16" s="1"/>
  <c r="AB28" i="1"/>
  <c r="D32" i="16" s="1"/>
  <c r="AB19" i="1"/>
  <c r="D4" i="16" s="1"/>
  <c r="Z45" i="1"/>
  <c r="E42" i="13" s="1"/>
  <c r="D37" i="11"/>
  <c r="E28" i="11"/>
  <c r="I21" i="1"/>
  <c r="K13" i="1"/>
  <c r="A29" i="13" s="1"/>
  <c r="E35" i="11"/>
  <c r="K16" i="1"/>
  <c r="A23" i="13" s="1"/>
  <c r="E34" i="11"/>
  <c r="K22" i="1"/>
  <c r="A18" i="13" s="1"/>
  <c r="E25" i="11"/>
  <c r="K5" i="1"/>
  <c r="A27" i="13" s="1"/>
  <c r="E14" i="11"/>
  <c r="F14" i="11" s="1"/>
  <c r="K18" i="1"/>
  <c r="A11" i="13" s="1"/>
  <c r="E19" i="11"/>
  <c r="K34" i="1"/>
  <c r="A14" i="13" s="1"/>
  <c r="E17" i="11"/>
  <c r="K14" i="1"/>
  <c r="A28" i="13" s="1"/>
  <c r="E30" i="11"/>
  <c r="F30" i="11" s="1"/>
  <c r="K6" i="1"/>
  <c r="A26" i="13" s="1"/>
  <c r="E32" i="11"/>
  <c r="K2" i="1"/>
  <c r="A6" i="13" s="1"/>
  <c r="K32" i="1"/>
  <c r="A24" i="13" s="1"/>
  <c r="E13" i="11"/>
  <c r="F13" i="11" s="1"/>
  <c r="K8" i="1"/>
  <c r="A30" i="13" s="1"/>
  <c r="E21" i="11"/>
  <c r="K17" i="1"/>
  <c r="A25" i="13" s="1"/>
  <c r="E8" i="11"/>
  <c r="F8" i="11" s="1"/>
  <c r="K20" i="1"/>
  <c r="A12" i="13" s="1"/>
  <c r="K33" i="1"/>
  <c r="A20" i="13" s="1"/>
  <c r="E7" i="11"/>
  <c r="K15" i="1"/>
  <c r="A22" i="13" s="1"/>
  <c r="E5" i="11"/>
  <c r="F5" i="11" s="1"/>
  <c r="K4" i="1"/>
  <c r="A21" i="13" s="1"/>
  <c r="E29" i="11"/>
  <c r="F29" i="11" s="1"/>
  <c r="K24" i="1"/>
  <c r="A2" i="13" s="1"/>
  <c r="E18" i="11"/>
  <c r="K35" i="1"/>
  <c r="A15" i="13" s="1"/>
  <c r="K12" i="1"/>
  <c r="A35" i="13" s="1"/>
  <c r="K23" i="1"/>
  <c r="A19" i="13" s="1"/>
  <c r="K26" i="1"/>
  <c r="A4" i="13" s="1"/>
  <c r="K19" i="1"/>
  <c r="A16" i="13" s="1"/>
  <c r="K21" i="1"/>
  <c r="A17" i="13" s="1"/>
  <c r="K27" i="1"/>
  <c r="A5" i="13" s="1"/>
  <c r="K29" i="1"/>
  <c r="A13" i="13" s="1"/>
  <c r="K28" i="1"/>
  <c r="A10" i="13" s="1"/>
  <c r="K31" i="1"/>
  <c r="A9" i="13" s="1"/>
  <c r="K7" i="1"/>
  <c r="A31" i="13" s="1"/>
  <c r="K11" i="1"/>
  <c r="A34" i="13" s="1"/>
  <c r="K25" i="1"/>
  <c r="A3" i="13" s="1"/>
  <c r="K9" i="1"/>
  <c r="A32" i="13" s="1"/>
  <c r="K10" i="1"/>
  <c r="A33" i="13" s="1"/>
  <c r="K3" i="1"/>
  <c r="A7" i="13" s="1"/>
  <c r="K30" i="1"/>
  <c r="A8" i="13" s="1"/>
  <c r="H38" i="1"/>
  <c r="A36" i="13" s="1"/>
  <c r="H41" i="1"/>
  <c r="A38" i="13" s="1"/>
  <c r="I33" i="1"/>
  <c r="I18" i="1"/>
  <c r="I14" i="1"/>
  <c r="I15" i="1"/>
  <c r="I22" i="1"/>
  <c r="I2" i="1"/>
  <c r="I4" i="1"/>
  <c r="I13" i="1"/>
  <c r="I8" i="1"/>
  <c r="I34" i="1"/>
  <c r="I24" i="1"/>
  <c r="I6" i="1"/>
  <c r="I5" i="1"/>
  <c r="I32" i="1"/>
  <c r="I17" i="1"/>
  <c r="I16" i="1"/>
  <c r="E3" i="2"/>
  <c r="D7" i="2"/>
  <c r="B14" i="2"/>
  <c r="B10" i="2" s="1"/>
  <c r="C7" i="2"/>
  <c r="B6" i="17" l="1"/>
  <c r="B27" i="17"/>
  <c r="C26" i="17"/>
  <c r="B26" i="17" s="1"/>
  <c r="L16" i="1"/>
  <c r="C23" i="13" s="1"/>
  <c r="L17" i="1"/>
  <c r="C25" i="13" s="1"/>
  <c r="AE45" i="1"/>
  <c r="AE41" i="1"/>
  <c r="AE43" i="1"/>
  <c r="AE38" i="1"/>
  <c r="L33" i="1"/>
  <c r="C20" i="13" s="1"/>
  <c r="J22" i="1"/>
  <c r="J15" i="1"/>
  <c r="J14" i="1"/>
  <c r="J18" i="1"/>
  <c r="J16" i="1"/>
  <c r="J32" i="1"/>
  <c r="J6" i="1"/>
  <c r="J13" i="1"/>
  <c r="J21" i="1"/>
  <c r="J5" i="1"/>
  <c r="J20" i="1"/>
  <c r="J8" i="1"/>
  <c r="J4" i="1"/>
  <c r="J33" i="1"/>
  <c r="J17" i="1"/>
  <c r="J24" i="1"/>
  <c r="J34" i="1"/>
  <c r="E12" i="11"/>
  <c r="F12" i="11" s="1"/>
  <c r="L13" i="1"/>
  <c r="C29" i="13" s="1"/>
  <c r="E20" i="11"/>
  <c r="E24" i="11"/>
  <c r="A24" i="11" s="1"/>
  <c r="A18" i="11"/>
  <c r="F18" i="11"/>
  <c r="E9" i="11"/>
  <c r="E6" i="11"/>
  <c r="F6" i="11" s="1"/>
  <c r="F17" i="11"/>
  <c r="A19" i="11"/>
  <c r="F19" i="11"/>
  <c r="A21" i="11"/>
  <c r="F21" i="11"/>
  <c r="A20" i="11"/>
  <c r="F20" i="11"/>
  <c r="A28" i="11"/>
  <c r="F28" i="11"/>
  <c r="E16" i="11"/>
  <c r="F16" i="11" s="1"/>
  <c r="A32" i="11"/>
  <c r="F32" i="11"/>
  <c r="E31" i="11"/>
  <c r="E10" i="11"/>
  <c r="F10" i="11" s="1"/>
  <c r="E3" i="11"/>
  <c r="F3" i="11" s="1"/>
  <c r="E15" i="11"/>
  <c r="F15" i="11" s="1"/>
  <c r="F7" i="11"/>
  <c r="E4" i="11"/>
  <c r="F4" i="11" s="1"/>
  <c r="E27" i="11"/>
  <c r="A25" i="11"/>
  <c r="F25" i="11"/>
  <c r="E26" i="11"/>
  <c r="E2" i="11"/>
  <c r="F2" i="11" s="1"/>
  <c r="E23" i="11"/>
  <c r="A34" i="11"/>
  <c r="F34" i="11"/>
  <c r="L8" i="1"/>
  <c r="C30" i="13" s="1"/>
  <c r="E22" i="11"/>
  <c r="E33" i="11"/>
  <c r="A35" i="11"/>
  <c r="F35" i="11"/>
  <c r="L34" i="1"/>
  <c r="C14" i="13" s="1"/>
  <c r="L3" i="1"/>
  <c r="C7" i="13" s="1"/>
  <c r="L5" i="1"/>
  <c r="C27" i="13" s="1"/>
  <c r="L27" i="1"/>
  <c r="C5" i="13" s="1"/>
  <c r="L4" i="1"/>
  <c r="C21" i="13" s="1"/>
  <c r="L18" i="1"/>
  <c r="C11" i="13" s="1"/>
  <c r="L20" i="1"/>
  <c r="C12" i="13" s="1"/>
  <c r="L31" i="1"/>
  <c r="C9" i="13" s="1"/>
  <c r="L28" i="1"/>
  <c r="C10" i="13" s="1"/>
  <c r="M16" i="1"/>
  <c r="D23" i="13" s="1"/>
  <c r="L24" i="1"/>
  <c r="C2" i="13" s="1"/>
  <c r="M17" i="1"/>
  <c r="D25" i="13" s="1"/>
  <c r="L10" i="1"/>
  <c r="C33" i="13" s="1"/>
  <c r="L11" i="1"/>
  <c r="C34" i="13" s="1"/>
  <c r="L22" i="1"/>
  <c r="C18" i="13" s="1"/>
  <c r="L29" i="1"/>
  <c r="C13" i="13" s="1"/>
  <c r="L19" i="1"/>
  <c r="C16" i="13" s="1"/>
  <c r="L14" i="1"/>
  <c r="C28" i="13" s="1"/>
  <c r="L30" i="1"/>
  <c r="C8" i="13" s="1"/>
  <c r="L15" i="1"/>
  <c r="C22" i="13" s="1"/>
  <c r="L25" i="1"/>
  <c r="C3" i="13" s="1"/>
  <c r="L26" i="1"/>
  <c r="C4" i="13" s="1"/>
  <c r="L12" i="1"/>
  <c r="C35" i="13" s="1"/>
  <c r="M33" i="1"/>
  <c r="D20" i="13" s="1"/>
  <c r="L9" i="1"/>
  <c r="C32" i="13" s="1"/>
  <c r="L7" i="1"/>
  <c r="C31" i="13" s="1"/>
  <c r="L21" i="1"/>
  <c r="C17" i="13" s="1"/>
  <c r="L32" i="1"/>
  <c r="C24" i="13" s="1"/>
  <c r="L23" i="1"/>
  <c r="C19" i="13" s="1"/>
  <c r="L35" i="1"/>
  <c r="C15" i="13" s="1"/>
  <c r="L6" i="1"/>
  <c r="C26" i="13" s="1"/>
  <c r="A29" i="11"/>
  <c r="A2" i="11"/>
  <c r="AB41" i="1"/>
  <c r="E11" i="11"/>
  <c r="L2" i="1"/>
  <c r="C6" i="13" s="1"/>
  <c r="K38" i="1"/>
  <c r="J2" i="1"/>
  <c r="I38" i="1"/>
  <c r="K43" i="1"/>
  <c r="K45" i="1"/>
  <c r="K41" i="1"/>
  <c r="I41" i="1"/>
  <c r="B15" i="2"/>
  <c r="C16" i="2" s="1"/>
  <c r="E30" i="2"/>
  <c r="E28" i="2"/>
  <c r="F3" i="2"/>
  <c r="F7" i="2" s="1"/>
  <c r="E7" i="2"/>
  <c r="G7" i="2" s="1"/>
  <c r="I7" i="2" s="1"/>
  <c r="F24" i="11" l="1"/>
  <c r="M13" i="1"/>
  <c r="D29" i="13" s="1"/>
  <c r="A12" i="11"/>
  <c r="A6" i="11"/>
  <c r="A31" i="11"/>
  <c r="F31" i="11"/>
  <c r="A10" i="11"/>
  <c r="F11" i="11"/>
  <c r="A16" i="11"/>
  <c r="M8" i="1"/>
  <c r="D30" i="13" s="1"/>
  <c r="A9" i="11"/>
  <c r="F9" i="11"/>
  <c r="A22" i="11"/>
  <c r="F22" i="11"/>
  <c r="A23" i="11"/>
  <c r="F23" i="11"/>
  <c r="A33" i="11"/>
  <c r="F33" i="11"/>
  <c r="A26" i="11"/>
  <c r="F26" i="11"/>
  <c r="A27" i="11"/>
  <c r="F27" i="11"/>
  <c r="M30" i="1"/>
  <c r="D8" i="13" s="1"/>
  <c r="M21" i="1"/>
  <c r="D17" i="13" s="1"/>
  <c r="M2" i="1"/>
  <c r="D6" i="13" s="1"/>
  <c r="L43" i="1"/>
  <c r="M18" i="1"/>
  <c r="D11" i="13" s="1"/>
  <c r="M19" i="1"/>
  <c r="D16" i="13" s="1"/>
  <c r="M29" i="1"/>
  <c r="D13" i="13" s="1"/>
  <c r="M22" i="1"/>
  <c r="D18" i="13" s="1"/>
  <c r="M4" i="1"/>
  <c r="D21" i="13" s="1"/>
  <c r="M28" i="1"/>
  <c r="D10" i="13" s="1"/>
  <c r="M7" i="1"/>
  <c r="D31" i="13" s="1"/>
  <c r="M11" i="1"/>
  <c r="D34" i="13" s="1"/>
  <c r="M12" i="1"/>
  <c r="D35" i="13" s="1"/>
  <c r="M5" i="1"/>
  <c r="D27" i="13" s="1"/>
  <c r="M35" i="1"/>
  <c r="D15" i="13" s="1"/>
  <c r="M24" i="1"/>
  <c r="D2" i="13" s="1"/>
  <c r="M10" i="1"/>
  <c r="D33" i="13" s="1"/>
  <c r="M26" i="1"/>
  <c r="D4" i="13" s="1"/>
  <c r="M32" i="1"/>
  <c r="D24" i="13" s="1"/>
  <c r="M14" i="1"/>
  <c r="D28" i="13" s="1"/>
  <c r="M31" i="1"/>
  <c r="D9" i="13" s="1"/>
  <c r="M20" i="1"/>
  <c r="D12" i="13" s="1"/>
  <c r="M9" i="1"/>
  <c r="D32" i="13" s="1"/>
  <c r="M27" i="1"/>
  <c r="D5" i="13" s="1"/>
  <c r="M6" i="1"/>
  <c r="D26" i="13" s="1"/>
  <c r="M25" i="1"/>
  <c r="D3" i="13" s="1"/>
  <c r="M3" i="1"/>
  <c r="D7" i="13" s="1"/>
  <c r="M23" i="1"/>
  <c r="D19" i="13" s="1"/>
  <c r="M15" i="1"/>
  <c r="D22" i="13" s="1"/>
  <c r="M34" i="1"/>
  <c r="D14" i="13" s="1"/>
  <c r="E36" i="11"/>
  <c r="A37" i="11" s="1"/>
  <c r="J38" i="1"/>
  <c r="J43" i="1"/>
  <c r="A43" i="13" s="1"/>
  <c r="L38" i="1"/>
  <c r="C36" i="13" s="1"/>
  <c r="C17" i="2"/>
  <c r="C10" i="2" s="1"/>
  <c r="A36" i="11" l="1"/>
  <c r="F37" i="11"/>
  <c r="E37" i="11"/>
  <c r="C38" i="13"/>
  <c r="L45" i="1"/>
  <c r="C40" i="13" s="1"/>
  <c r="M43" i="1"/>
  <c r="J45" i="1"/>
  <c r="A45" i="13" s="1"/>
  <c r="M38" i="1"/>
  <c r="D36" i="13" s="1"/>
  <c r="C18" i="2"/>
  <c r="D19" i="2" s="1"/>
  <c r="D38" i="13" l="1"/>
  <c r="E44" i="13"/>
  <c r="AB42" i="1"/>
  <c r="M45" i="1"/>
  <c r="L47" i="1"/>
  <c r="L49" i="1" s="1"/>
  <c r="C44" i="13" s="1"/>
  <c r="AB38" i="1"/>
  <c r="D20" i="2"/>
  <c r="D10" i="2" s="1"/>
  <c r="D40" i="13" l="1"/>
  <c r="M47" i="1"/>
  <c r="C42" i="13"/>
  <c r="L51" i="1"/>
  <c r="C46" i="13" s="1"/>
  <c r="D21" i="2"/>
  <c r="E22" i="2" s="1"/>
  <c r="D42" i="13" l="1"/>
  <c r="M49" i="1"/>
  <c r="D44" i="13" s="1"/>
  <c r="L53" i="1"/>
  <c r="C48" i="13" s="1"/>
  <c r="E23" i="2"/>
  <c r="E10" i="2" s="1"/>
  <c r="L54" i="1" l="1"/>
  <c r="C49" i="13" s="1"/>
  <c r="M51" i="1"/>
  <c r="D46" i="13" s="1"/>
  <c r="E24" i="2"/>
  <c r="F25" i="2" s="1"/>
  <c r="F26" i="2" s="1"/>
  <c r="F10" i="2" s="1"/>
  <c r="J10" i="2" s="1"/>
  <c r="M53" i="1" l="1"/>
  <c r="D48" i="13" s="1"/>
  <c r="M54" i="1" l="1"/>
  <c r="D49" i="13" s="1"/>
</calcChain>
</file>

<file path=xl/sharedStrings.xml><?xml version="1.0" encoding="utf-8"?>
<sst xmlns="http://schemas.openxmlformats.org/spreadsheetml/2006/main" count="339" uniqueCount="246">
  <si>
    <t>Objet</t>
  </si>
  <si>
    <t>Em</t>
  </si>
  <si>
    <t>Es</t>
  </si>
  <si>
    <t>Vm</t>
  </si>
  <si>
    <t>Vs</t>
  </si>
  <si>
    <t>Acheteur</t>
  </si>
  <si>
    <t>M</t>
  </si>
  <si>
    <t>O</t>
  </si>
  <si>
    <t>G</t>
  </si>
  <si>
    <t>#</t>
  </si>
  <si>
    <t>s</t>
  </si>
  <si>
    <t>VALEUR DU MARC</t>
  </si>
  <si>
    <t>Marc</t>
  </si>
  <si>
    <t>Once</t>
  </si>
  <si>
    <t>Gros</t>
  </si>
  <si>
    <t>Denier</t>
  </si>
  <si>
    <t>Grain</t>
  </si>
  <si>
    <t>Valeur des subdivisions</t>
  </si>
  <si>
    <t>Décimal</t>
  </si>
  <si>
    <t>Calcul</t>
  </si>
  <si>
    <t>Équivalence</t>
  </si>
  <si>
    <t>Grammes</t>
  </si>
  <si>
    <t>&lt;= ÉCRIRE VALEUR EN MARC</t>
  </si>
  <si>
    <t>Convertie en gramme</t>
  </si>
  <si>
    <r>
      <rPr>
        <sz val="12"/>
        <color theme="1"/>
        <rFont val="Symbol"/>
        <family val="1"/>
        <charset val="2"/>
      </rPr>
      <t>¬</t>
    </r>
    <r>
      <rPr>
        <sz val="12"/>
        <color theme="1"/>
        <rFont val="Verdana"/>
        <family val="2"/>
      </rPr>
      <t xml:space="preserve"> Copier coller le résultat dans le presse-papier</t>
    </r>
  </si>
  <si>
    <t>&lt;= ÉCRIRE VALEUR EN GRAMMES</t>
  </si>
  <si>
    <t>Convertie en marc</t>
  </si>
  <si>
    <r>
      <rPr>
        <sz val="12"/>
        <color theme="1"/>
        <rFont val="Symbol"/>
        <family val="1"/>
        <charset val="2"/>
      </rPr>
      <t>­</t>
    </r>
    <r>
      <rPr>
        <sz val="12"/>
        <color theme="1"/>
        <rFont val="Verdana"/>
        <family val="2"/>
      </rPr>
      <t xml:space="preserve"> Copier coller le résultat dans le presse-papier </t>
    </r>
    <r>
      <rPr>
        <sz val="12"/>
        <color theme="1"/>
        <rFont val="Symbol"/>
        <family val="1"/>
        <charset val="2"/>
      </rPr>
      <t>­</t>
    </r>
  </si>
  <si>
    <t>OPÉRATIONS DES CALCULS</t>
  </si>
  <si>
    <t>Converti en marc</t>
  </si>
  <si>
    <t>Arrondi au marc inférieur</t>
  </si>
  <si>
    <t>Reste en décimal</t>
  </si>
  <si>
    <t>Arrondi à l'once inférieure</t>
  </si>
  <si>
    <t>Arrondi au gros inférieur</t>
  </si>
  <si>
    <t>Arrondi au denier inférieur</t>
  </si>
  <si>
    <t>Arrondi en grain</t>
  </si>
  <si>
    <t>1m1o1g1d</t>
  </si>
  <si>
    <t>d</t>
  </si>
  <si>
    <t>Foucher</t>
  </si>
  <si>
    <t>Gr</t>
  </si>
  <si>
    <t>Huilier</t>
  </si>
  <si>
    <t>Lusignan</t>
  </si>
  <si>
    <t>Senneville</t>
  </si>
  <si>
    <t>Fleury</t>
  </si>
  <si>
    <t>Dumont</t>
  </si>
  <si>
    <t>Coquetier</t>
  </si>
  <si>
    <t>Walon</t>
  </si>
  <si>
    <t>Plat</t>
  </si>
  <si>
    <t>Saucière</t>
  </si>
  <si>
    <t>Jatte</t>
  </si>
  <si>
    <t>Flambeau</t>
  </si>
  <si>
    <t>Gr1</t>
  </si>
  <si>
    <t>Sucrier</t>
  </si>
  <si>
    <t>Lacorne</t>
  </si>
  <si>
    <t>Cuiller à potage</t>
  </si>
  <si>
    <t>Francheville</t>
  </si>
  <si>
    <t>Cuiller à ragoût</t>
  </si>
  <si>
    <t>Nicolet</t>
  </si>
  <si>
    <t>Buron</t>
  </si>
  <si>
    <t>Plat ovale</t>
  </si>
  <si>
    <t>Cugnet</t>
  </si>
  <si>
    <t>Cafetière</t>
  </si>
  <si>
    <t>Dupont</t>
  </si>
  <si>
    <t>Cuiller à pot</t>
  </si>
  <si>
    <t>Cuiller à olives</t>
  </si>
  <si>
    <t>Charly</t>
  </si>
  <si>
    <t>Lestage</t>
  </si>
  <si>
    <t>Fournel</t>
  </si>
  <si>
    <t>Bailly</t>
  </si>
  <si>
    <t>Vermeil à la façon antique</t>
  </si>
  <si>
    <t>Couteau</t>
  </si>
  <si>
    <t>Foucault</t>
  </si>
  <si>
    <t>Manche vermeil lame de fer</t>
  </si>
  <si>
    <t>Cuiller</t>
  </si>
  <si>
    <t>Deschaillons</t>
  </si>
  <si>
    <t>Saint-Louis</t>
  </si>
  <si>
    <t>Lamorille</t>
  </si>
  <si>
    <t>Salière</t>
  </si>
  <si>
    <t>Perthuis</t>
  </si>
  <si>
    <t>Guillemin</t>
  </si>
  <si>
    <t>Aiguière</t>
  </si>
  <si>
    <t>https://or.fr/cours/argent/cad</t>
  </si>
  <si>
    <t>Moyenne</t>
  </si>
  <si>
    <t>Total</t>
  </si>
  <si>
    <t>1g $CAN</t>
  </si>
  <si>
    <t>pdf</t>
  </si>
  <si>
    <t>Lourd</t>
  </si>
  <si>
    <t>Léger</t>
  </si>
  <si>
    <t>GrTo</t>
  </si>
  <si>
    <t>Ed</t>
  </si>
  <si>
    <t>Vd</t>
  </si>
  <si>
    <t>#d</t>
  </si>
  <si>
    <t>T</t>
  </si>
  <si>
    <t>Q</t>
  </si>
  <si>
    <t>Huilier (porte)</t>
  </si>
  <si>
    <t>&gt;10000$</t>
  </si>
  <si>
    <t>&gt;5000$</t>
  </si>
  <si>
    <t>&gt;1000$</t>
  </si>
  <si>
    <t>&gt;0$</t>
  </si>
  <si>
    <t>Ao</t>
  </si>
  <si>
    <t>Haut</t>
  </si>
  <si>
    <t>Bas</t>
  </si>
  <si>
    <t>Normal</t>
  </si>
  <si>
    <t>Orf %</t>
  </si>
  <si>
    <t>Orf #</t>
  </si>
  <si>
    <t>VenteT #</t>
  </si>
  <si>
    <t>VenteT $</t>
  </si>
  <si>
    <t>Qto</t>
  </si>
  <si>
    <t>✓</t>
  </si>
  <si>
    <t>Quantité d'objets vendus</t>
  </si>
  <si>
    <t>Acheteur : nom</t>
  </si>
  <si>
    <t>Acheteur : objet</t>
  </si>
  <si>
    <t>Abréviation</t>
  </si>
  <si>
    <t>Poids en gramme pour 1 seul objet de chaque type</t>
  </si>
  <si>
    <t>Façon *2</t>
  </si>
  <si>
    <t>https://www.biographi.ca/fr/bio/cugnet_francois_etienne_3F.html</t>
  </si>
  <si>
    <t>Personnage</t>
  </si>
  <si>
    <t>Référence</t>
  </si>
  <si>
    <t>Note</t>
  </si>
  <si>
    <t>François Foucher (1699-1770)</t>
  </si>
  <si>
    <t>https://www.biographi.ca/fr/bio/foucher_francois_3F.html</t>
  </si>
  <si>
    <t>François-Étienne Cugnet (1688-1751)</t>
  </si>
  <si>
    <t>Charles Guillimin (1676-1739)</t>
  </si>
  <si>
    <t>https://www.biographi.ca/fr/bio/guillimin_charles_2F.html</t>
  </si>
  <si>
    <t>Charles (1664-1722), Joseph (1714-1782), Jean-Baptiste-Ignace (1716-1767)</t>
  </si>
  <si>
    <t>https://www.biographi.ca/fr/resultats.php/?ft=perthuis</t>
  </si>
  <si>
    <t>Rien au DBC! Claude-Gabriel Walon de Messy.</t>
  </si>
  <si>
    <t>https://www.biographi.ca/fr/resultats.php/?ft=charly</t>
  </si>
  <si>
    <t>Louis Charly Saint-Ange (1703-1767 ou 1768) ou son aîné Jacques.</t>
  </si>
  <si>
    <t>Poids total en gramme de tous les objets de même type</t>
  </si>
  <si>
    <t>Poids de l'objet : converti en gramme</t>
  </si>
  <si>
    <t>Commentaire noté au document d'origine ou autre</t>
  </si>
  <si>
    <r>
      <t xml:space="preserve">Cuiller Fourchette </t>
    </r>
    <r>
      <rPr>
        <sz val="12"/>
        <color theme="1"/>
        <rFont val="Verdana"/>
        <family val="2"/>
      </rPr>
      <t>(6+6)</t>
    </r>
  </si>
  <si>
    <t>Cuiller Fourchette (2+2)</t>
  </si>
  <si>
    <t>&gt;4000$</t>
  </si>
  <si>
    <t>&gt;3000$</t>
  </si>
  <si>
    <t>&gt;2000$</t>
  </si>
  <si>
    <t>&gt;2500$</t>
  </si>
  <si>
    <t>&gt;7500$</t>
  </si>
  <si>
    <t>livres</t>
  </si>
  <si>
    <t>sols</t>
  </si>
  <si>
    <t>#d1</t>
  </si>
  <si>
    <t>$1</t>
  </si>
  <si>
    <t>$1F</t>
  </si>
  <si>
    <t>$AF</t>
  </si>
  <si>
    <t>Ratio $/#</t>
  </si>
  <si>
    <t>https://www.google.com/search?q=Personnage+nomm%C3%A9+Walon+en+Nouvelle-France+vers+1730&amp;num=10&amp;newwindow=1&amp;sca_esv=28e22e78b1f4eede&amp;rlz=1C1GCEA_enCA1194CA1194&amp;sxsrf=APpeQnvG-Vk0woekGgwdYqDwSMuljcx0kA%3A1785091118451&amp;ei=LlRmapyPG62mruEPh_uDgAQ&amp;biw=1150&amp;bih=550&amp;ved=0ahUKEwic3obQ_vCVAxUtkysGHYf9AEAQ4dUDCBA&amp;uact=5&amp;oq=Personnage+nomm%C3%A9+Walon+en+Nouvelle-France+vers+1730 &amp;gs_lp=Egxnd3Mtd2l6LXNlcnAiNFBlcnNvbm5hZ2Ugbm9tbcOpIFdhbG9uIGVuIE5vdXZlbGxlLUZyYW5jZSB2ZXJzIDE3MzAyBRAhGJ8FSPZ6UMMVWJ52cAR4AZABAJgBpgGgAeIqqgEFMTQuMzW4AQPIAQD4AQH4AQKYAjWgAt4rqAIKwgIKEAAYRxjWBBiwA8ICBxAjGOoCGCfCAg0QIxjwBRieBhjqAhgnwgINECMY8AUYyQIY6gIYJ8ICChAjGPAFGOoCGCfCAgoQIxjwBRjJAhgnwgIEECMYJ8ICChAAGIAEGIoFGEPCAg4QABiABBiKBRixAxiDAcICBRAAGIAEwgIOEC4YgAQYsQMYxwEY0QPCAggQABiABBixA8ICChAjGJ4GGPAFGCfCAgsQABiABBixAxiDAcICDRAAGIAEGIoFGEMYsQPCAgoQLhiABBiKBRhDwgIIEC4YsQMYgATCAggQLhiABBixA8ICCBAuGMsBGIAEwgIIEAAYgAQYywHCAggQLhiABBjLAcICBRAuGIAEwgIGEAAYFhgewgIHEAAYgAQYDcICBhAAGB4YDcICCBAAGIkFGKIEwgIIEAAYgAQYogTCAgUQABjvBcICBRAhGKABwgIEECEYFcICBxAhGAoYoAGYAwPxBecseqZgihWoiAYBkAYIkgcFMTYuMzegB43sAbIHBTEyLjM3uAfUK8IHBzIyLjMwLjHIB0WACAE&amp;sclient=gws-wiz-serp</t>
  </si>
  <si>
    <t>Matériau</t>
  </si>
  <si>
    <t>Façon</t>
  </si>
  <si>
    <t>Confirmation que ce calcul correspond aux autres</t>
  </si>
  <si>
    <t>Calcul du ratio entre le $CAN actuel et l'ancienne # française</t>
  </si>
  <si>
    <t>Nom de l'objet uniformisé au singulier</t>
  </si>
  <si>
    <t>Quantité d'items par type d'objet</t>
  </si>
  <si>
    <t>Poids de l'objet : Marc</t>
  </si>
  <si>
    <t>Poids de l'objet : Once</t>
  </si>
  <si>
    <t>Poids de l'objet : Gros</t>
  </si>
  <si>
    <t>$To</t>
  </si>
  <si>
    <t>Valeur en $CAN actuel du poids total en gramme de tous les objets de même type</t>
  </si>
  <si>
    <t>Évaluation de la valeur du Marc en livre française ancienne (#)</t>
  </si>
  <si>
    <t>Évaluation de la valeur du Marc en livre française ancienne (sol)</t>
  </si>
  <si>
    <t>Vente : valeur du marc (# plus sol) convertie en décimal</t>
  </si>
  <si>
    <t>Vente : valeur du marc (#)</t>
  </si>
  <si>
    <t>Vente : valeur du marc (sol)</t>
  </si>
  <si>
    <t>Évaluation de la valeur du marc (# plus sol) convertie en décimal</t>
  </si>
  <si>
    <t>Page pdf du document « Dupuy1731.10.09VenteDetail.pdf »</t>
  </si>
  <si>
    <t>Compilation</t>
  </si>
  <si>
    <t>Compilation Objets</t>
  </si>
  <si>
    <t>Onglets</t>
  </si>
  <si>
    <t>Compilation $CAN</t>
  </si>
  <si>
    <t>Compilation $CAN Acheteurs</t>
  </si>
  <si>
    <r>
      <t>Signification</t>
    </r>
    <r>
      <rPr>
        <sz val="12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(classés selon l'ordre des colonnes de gauche à droite)</t>
    </r>
  </si>
  <si>
    <t>Acheteurs</t>
  </si>
  <si>
    <t>Valeur en $CAN actuel pour 1 seul objet incluant la façon</t>
  </si>
  <si>
    <t>Valeur du matériau en $CAN actuel pour 1 seul objet</t>
  </si>
  <si>
    <t>Valeur du lot en $CAN actuel d'après le poids du matériau plus la façon</t>
  </si>
  <si>
    <t>Compilation Acheteurs</t>
  </si>
  <si>
    <t>Achat total</t>
  </si>
  <si>
    <t>Cuiller Fourchette</t>
  </si>
  <si>
    <t>#dv</t>
  </si>
  <si>
    <t>Md</t>
  </si>
  <si>
    <t>#de</t>
  </si>
  <si>
    <t>Moy</t>
  </si>
  <si>
    <t>Charest</t>
  </si>
  <si>
    <t>%</t>
  </si>
  <si>
    <t>Poids de l'objet : Marc, once, gros, converti en décimal</t>
  </si>
  <si>
    <t>Prix de vente : livre française ancienne (#)</t>
  </si>
  <si>
    <t>Prix de vente : livre française ancienne (sol)</t>
  </si>
  <si>
    <t>Prix de vente : livre française ancienne (denier)</t>
  </si>
  <si>
    <t>Prix de vente : livre française ancienne (# plus sol plus denier) convertie en décimal</t>
  </si>
  <si>
    <t>Prix de vente : livre française en décimal pour 1 seul objet</t>
  </si>
  <si>
    <t>Prix de vente : vérification du calcul</t>
  </si>
  <si>
    <t>Prix de vente : écart dans le calcul</t>
  </si>
  <si>
    <t>Compilation #dv</t>
  </si>
  <si>
    <t>Compilation Vd #dv</t>
  </si>
  <si>
    <t>Compilation Acheteurs Vd</t>
  </si>
  <si>
    <t>Compilation $CAN Vd</t>
  </si>
  <si>
    <t>Assiette décagone</t>
  </si>
  <si>
    <t>1 marc =</t>
  </si>
  <si>
    <t>grammes</t>
  </si>
  <si>
    <t>Manche argent adjugés sans poids</t>
  </si>
  <si>
    <t>81# corrigées à 91# en marge</t>
  </si>
  <si>
    <t>Prix de 52,5# corrigé à 58,5#</t>
  </si>
  <si>
    <t>fayance</t>
  </si>
  <si>
    <t>différentes façons</t>
  </si>
  <si>
    <t>porcelaine</t>
  </si>
  <si>
    <t>particularité</t>
  </si>
  <si>
    <t>état</t>
  </si>
  <si>
    <t>acheteur</t>
  </si>
  <si>
    <t>blanche</t>
  </si>
  <si>
    <t>plusieurs cassées</t>
  </si>
  <si>
    <t>Baron</t>
  </si>
  <si>
    <t>bleue</t>
  </si>
  <si>
    <t>toutes cassées</t>
  </si>
  <si>
    <t>très commune</t>
  </si>
  <si>
    <t>quelques-unes écornées</t>
  </si>
  <si>
    <t>Saint-Louis (la)</t>
  </si>
  <si>
    <t>une cassée</t>
  </si>
  <si>
    <t>Mayer</t>
  </si>
  <si>
    <t>Delafontaine</t>
  </si>
  <si>
    <t>de dessert</t>
  </si>
  <si>
    <t>2 ou 3 cassées</t>
  </si>
  <si>
    <t>Vase</t>
  </si>
  <si>
    <t>Cuivre</t>
  </si>
  <si>
    <t>Bois</t>
  </si>
  <si>
    <t>Argenté</t>
  </si>
  <si>
    <t>Doré</t>
  </si>
  <si>
    <t>Garni d'argent</t>
  </si>
  <si>
    <t>Hamel</t>
  </si>
  <si>
    <t>Delisle</t>
  </si>
  <si>
    <t>Courval</t>
  </si>
  <si>
    <t>Mayere</t>
  </si>
  <si>
    <t>Réchaud</t>
  </si>
  <si>
    <t>Sans brique</t>
  </si>
  <si>
    <t>Voisy</t>
  </si>
  <si>
    <t>Sceau</t>
  </si>
  <si>
    <t>Cassette</t>
  </si>
  <si>
    <t>ArgDor</t>
  </si>
  <si>
    <t>#e</t>
  </si>
  <si>
    <r>
      <t xml:space="preserve">Cuir </t>
    </r>
    <r>
      <rPr>
        <sz val="8"/>
        <color theme="7" tint="-0.499984740745262"/>
        <rFont val="Verdana"/>
        <family val="2"/>
      </rPr>
      <t>(garni de velours vert en dedans)</t>
    </r>
  </si>
  <si>
    <t>Étui avec un ganif</t>
  </si>
  <si>
    <t>Compilation ArgDor</t>
  </si>
  <si>
    <t>Compilation Objets ArgDor</t>
  </si>
  <si>
    <t>Estimatin de la valeur en #.</t>
  </si>
  <si>
    <t>Compilation Acheteurs ArgDor Vd</t>
  </si>
  <si>
    <t>Compilation Acheteurs ArgDor #dv</t>
  </si>
  <si>
    <t>Argenté ou doré.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</si>
</sst>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#,##0.00\ [$$-C0C]"/>
    <numFmt numFmtId="167" formatCode="#,##0.0"/>
    <numFmt numFmtId="168" formatCode="#,##0\ [$$-C0C]"/>
  </numFmts>
  <fonts count="30" x14ac:knownFonts="1">
    <font>
      <sz val="12"/>
      <color theme="1"/>
      <name val="Verdana"/>
      <family val="2"/>
    </font>
    <font>
      <b/>
      <sz val="12"/>
      <color theme="1"/>
      <name val="Verdana"/>
      <family val="2"/>
    </font>
    <font>
      <i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  <font>
      <b/>
      <sz val="14"/>
      <color theme="1"/>
      <name val="Verdana"/>
      <family val="2"/>
    </font>
    <font>
      <sz val="12"/>
      <color theme="1"/>
      <name val="Symbol"/>
      <family val="1"/>
      <charset val="2"/>
    </font>
    <font>
      <b/>
      <i/>
      <sz val="10"/>
      <color theme="1"/>
      <name val="Verdana"/>
      <family val="2"/>
    </font>
    <font>
      <u/>
      <sz val="12"/>
      <color theme="10"/>
      <name val="Verdana"/>
      <family val="2"/>
    </font>
    <font>
      <u/>
      <sz val="10"/>
      <color theme="10"/>
      <name val="Verdana"/>
      <family val="2"/>
    </font>
    <font>
      <b/>
      <i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12"/>
      <color theme="1"/>
      <name val="Verdana"/>
      <family val="2"/>
    </font>
    <font>
      <i/>
      <sz val="8"/>
      <color theme="1"/>
      <name val="Verdana"/>
      <family val="2"/>
    </font>
    <font>
      <b/>
      <i/>
      <sz val="12"/>
      <name val="Verdana"/>
      <family val="2"/>
    </font>
    <font>
      <sz val="12"/>
      <name val="Verdana"/>
      <family val="2"/>
    </font>
    <font>
      <b/>
      <sz val="10"/>
      <color theme="1"/>
      <name val="Verdana"/>
      <family val="2"/>
    </font>
    <font>
      <b/>
      <i/>
      <sz val="8"/>
      <color rgb="FFFF0000"/>
      <name val="Verdana"/>
      <family val="2"/>
    </font>
    <font>
      <i/>
      <sz val="8"/>
      <color rgb="FFFF0000"/>
      <name val="Verdana"/>
      <family val="2"/>
    </font>
    <font>
      <i/>
      <sz val="12"/>
      <color theme="1"/>
      <name val="Verdana"/>
      <family val="2"/>
    </font>
    <font>
      <i/>
      <sz val="12"/>
      <color rgb="FFFF0000"/>
      <name val="Verdana"/>
      <family val="2"/>
    </font>
    <font>
      <b/>
      <sz val="12"/>
      <color rgb="FFFF0000"/>
      <name val="Verdana"/>
      <family val="2"/>
    </font>
    <font>
      <b/>
      <i/>
      <sz val="12"/>
      <color rgb="FFFF0000"/>
      <name val="Verdana"/>
      <family val="2"/>
    </font>
    <font>
      <b/>
      <i/>
      <sz val="10"/>
      <color theme="7" tint="-0.499984740745262"/>
      <name val="Verdana"/>
      <family val="2"/>
    </font>
    <font>
      <sz val="12"/>
      <color theme="7" tint="-0.499984740745262"/>
      <name val="Verdana"/>
      <family val="2"/>
    </font>
    <font>
      <b/>
      <i/>
      <sz val="12"/>
      <color theme="7" tint="-0.499984740745262"/>
      <name val="Verdana"/>
      <family val="2"/>
    </font>
    <font>
      <i/>
      <sz val="12"/>
      <color theme="7" tint="-0.499984740745262"/>
      <name val="Verdana"/>
      <family val="2"/>
    </font>
    <font>
      <b/>
      <sz val="12"/>
      <color theme="7" tint="-0.499984740745262"/>
      <name val="Verdana"/>
      <family val="2"/>
    </font>
    <font>
      <sz val="8"/>
      <color theme="7" tint="-0.499984740745262"/>
      <name val="Verdana"/>
      <family val="2"/>
    </font>
    <font>
      <sz val="10"/>
      <color rgb="FFFF0000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F3DB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164" fontId="2" fillId="2" borderId="0" xfId="0" applyNumberFormat="1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/>
    <xf numFmtId="0" fontId="3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166" fontId="0" fillId="6" borderId="1" xfId="0" applyNumberFormat="1" applyFill="1" applyBorder="1" applyAlignment="1">
      <alignment horizontal="righ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7" fontId="9" fillId="0" borderId="0" xfId="1" applyNumberFormat="1" applyFont="1" applyBorder="1" applyAlignment="1">
      <alignment horizontal="left"/>
    </xf>
    <xf numFmtId="167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67" fontId="0" fillId="6" borderId="2" xfId="0" applyNumberFormat="1" applyFill="1" applyBorder="1" applyAlignment="1">
      <alignment horizontal="right"/>
    </xf>
    <xf numFmtId="167" fontId="3" fillId="6" borderId="3" xfId="0" applyNumberFormat="1" applyFont="1" applyFill="1" applyBorder="1" applyAlignment="1">
      <alignment horizontal="right"/>
    </xf>
    <xf numFmtId="167" fontId="3" fillId="6" borderId="4" xfId="0" applyNumberFormat="1" applyFont="1" applyFill="1" applyBorder="1" applyAlignment="1">
      <alignment horizontal="right"/>
    </xf>
    <xf numFmtId="166" fontId="3" fillId="6" borderId="3" xfId="0" applyNumberFormat="1" applyFont="1" applyFill="1" applyBorder="1" applyAlignment="1">
      <alignment horizontal="right"/>
    </xf>
    <xf numFmtId="166" fontId="3" fillId="6" borderId="4" xfId="0" applyNumberFormat="1" applyFont="1" applyFill="1" applyBorder="1" applyAlignment="1">
      <alignment horizontal="right"/>
    </xf>
    <xf numFmtId="165" fontId="3" fillId="6" borderId="3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0" fontId="11" fillId="9" borderId="2" xfId="0" applyFont="1" applyFill="1" applyBorder="1" applyAlignment="1">
      <alignment horizontal="right"/>
    </xf>
    <xf numFmtId="0" fontId="11" fillId="0" borderId="0" xfId="0" applyFont="1" applyAlignment="1">
      <alignment horizontal="left"/>
    </xf>
    <xf numFmtId="0" fontId="11" fillId="7" borderId="2" xfId="0" applyFont="1" applyFill="1" applyBorder="1" applyAlignment="1">
      <alignment horizontal="center"/>
    </xf>
    <xf numFmtId="167" fontId="3" fillId="8" borderId="4" xfId="0" applyNumberFormat="1" applyFont="1" applyFill="1" applyBorder="1" applyAlignment="1">
      <alignment horizontal="right"/>
    </xf>
    <xf numFmtId="167" fontId="3" fillId="8" borderId="3" xfId="0" applyNumberFormat="1" applyFont="1" applyFill="1" applyBorder="1" applyAlignment="1">
      <alignment horizontal="right"/>
    </xf>
    <xf numFmtId="167" fontId="3" fillId="8" borderId="5" xfId="0" applyNumberFormat="1" applyFont="1" applyFill="1" applyBorder="1" applyAlignment="1">
      <alignment horizontal="right"/>
    </xf>
    <xf numFmtId="0" fontId="0" fillId="7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166" fontId="0" fillId="8" borderId="2" xfId="0" applyNumberFormat="1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167" fontId="3" fillId="8" borderId="2" xfId="0" applyNumberFormat="1" applyFont="1" applyFill="1" applyBorder="1" applyAlignment="1">
      <alignment horizontal="right"/>
    </xf>
    <xf numFmtId="166" fontId="3" fillId="8" borderId="1" xfId="0" applyNumberFormat="1" applyFont="1" applyFill="1" applyBorder="1" applyAlignment="1">
      <alignment horizontal="right"/>
    </xf>
    <xf numFmtId="0" fontId="10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8" borderId="3" xfId="0" applyNumberFormat="1" applyFont="1" applyFill="1" applyBorder="1" applyAlignment="1">
      <alignment horizontal="right"/>
    </xf>
    <xf numFmtId="3" fontId="3" fillId="8" borderId="4" xfId="0" applyNumberFormat="1" applyFont="1" applyFill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0" fontId="3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166" fontId="2" fillId="0" borderId="0" xfId="0" applyNumberFormat="1" applyFont="1"/>
    <xf numFmtId="166" fontId="3" fillId="8" borderId="4" xfId="0" applyNumberFormat="1" applyFont="1" applyFill="1" applyBorder="1" applyAlignment="1">
      <alignment horizontal="right"/>
    </xf>
    <xf numFmtId="0" fontId="12" fillId="0" borderId="0" xfId="0" applyFont="1"/>
    <xf numFmtId="0" fontId="11" fillId="5" borderId="6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11" fillId="5" borderId="6" xfId="0" applyFont="1" applyFill="1" applyBorder="1" applyAlignment="1">
      <alignment horizontal="right"/>
    </xf>
    <xf numFmtId="0" fontId="11" fillId="5" borderId="11" xfId="0" applyFont="1" applyFill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7" borderId="3" xfId="0" applyFont="1" applyFill="1" applyBorder="1" applyAlignment="1">
      <alignment horizontal="right"/>
    </xf>
    <xf numFmtId="0" fontId="3" fillId="7" borderId="5" xfId="0" applyFont="1" applyFill="1" applyBorder="1" applyAlignment="1">
      <alignment horizontal="right"/>
    </xf>
    <xf numFmtId="0" fontId="3" fillId="7" borderId="4" xfId="0" applyFont="1" applyFill="1" applyBorder="1" applyAlignment="1">
      <alignment horizontal="right"/>
    </xf>
    <xf numFmtId="0" fontId="3" fillId="10" borderId="3" xfId="0" applyFont="1" applyFill="1" applyBorder="1" applyAlignment="1">
      <alignment horizontal="right"/>
    </xf>
    <xf numFmtId="0" fontId="3" fillId="10" borderId="5" xfId="0" applyFont="1" applyFill="1" applyBorder="1" applyAlignment="1">
      <alignment horizontal="right"/>
    </xf>
    <xf numFmtId="166" fontId="3" fillId="0" borderId="4" xfId="0" applyNumberFormat="1" applyFont="1" applyBorder="1" applyAlignment="1">
      <alignment horizontal="right"/>
    </xf>
    <xf numFmtId="0" fontId="12" fillId="0" borderId="10" xfId="0" applyFont="1" applyBorder="1"/>
    <xf numFmtId="0" fontId="0" fillId="0" borderId="10" xfId="0" applyBorder="1"/>
    <xf numFmtId="0" fontId="8" fillId="0" borderId="10" xfId="1" applyBorder="1"/>
    <xf numFmtId="0" fontId="0" fillId="11" borderId="9" xfId="0" applyFill="1" applyBorder="1" applyAlignment="1">
      <alignment horizontal="left"/>
    </xf>
    <xf numFmtId="0" fontId="0" fillId="11" borderId="2" xfId="0" applyFill="1" applyBorder="1" applyAlignment="1">
      <alignment horizontal="left"/>
    </xf>
    <xf numFmtId="166" fontId="0" fillId="11" borderId="10" xfId="0" applyNumberFormat="1" applyFill="1" applyBorder="1" applyAlignment="1">
      <alignment horizontal="right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9" fontId="3" fillId="0" borderId="4" xfId="0" applyNumberFormat="1" applyFont="1" applyBorder="1" applyAlignment="1">
      <alignment horizontal="right"/>
    </xf>
    <xf numFmtId="168" fontId="3" fillId="0" borderId="4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0" fillId="11" borderId="1" xfId="0" applyNumberFormat="1" applyFill="1" applyBorder="1" applyAlignment="1">
      <alignment horizontal="right"/>
    </xf>
    <xf numFmtId="0" fontId="3" fillId="0" borderId="9" xfId="0" applyFont="1" applyBorder="1"/>
    <xf numFmtId="166" fontId="8" fillId="0" borderId="7" xfId="1" applyNumberFormat="1" applyBorder="1"/>
    <xf numFmtId="166" fontId="9" fillId="0" borderId="7" xfId="1" applyNumberFormat="1" applyFont="1" applyBorder="1"/>
    <xf numFmtId="166" fontId="3" fillId="0" borderId="7" xfId="0" applyNumberFormat="1" applyFont="1" applyBorder="1"/>
    <xf numFmtId="166" fontId="3" fillId="0" borderId="0" xfId="0" applyNumberFormat="1" applyFont="1"/>
    <xf numFmtId="0" fontId="11" fillId="0" borderId="10" xfId="0" applyFont="1" applyBorder="1" applyAlignment="1">
      <alignment horizontal="left"/>
    </xf>
    <xf numFmtId="0" fontId="13" fillId="0" borderId="0" xfId="0" applyFont="1" applyAlignment="1">
      <alignment horizontal="left"/>
    </xf>
    <xf numFmtId="4" fontId="3" fillId="10" borderId="4" xfId="0" applyNumberFormat="1" applyFont="1" applyFill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166" fontId="0" fillId="8" borderId="2" xfId="0" applyNumberFormat="1" applyFill="1" applyBorder="1" applyAlignment="1">
      <alignment horizontal="center"/>
    </xf>
    <xf numFmtId="3" fontId="3" fillId="8" borderId="3" xfId="0" applyNumberFormat="1" applyFont="1" applyFill="1" applyBorder="1" applyAlignment="1">
      <alignment horizontal="center"/>
    </xf>
    <xf numFmtId="3" fontId="3" fillId="8" borderId="5" xfId="0" applyNumberFormat="1" applyFont="1" applyFill="1" applyBorder="1" applyAlignment="1">
      <alignment horizontal="center"/>
    </xf>
    <xf numFmtId="3" fontId="3" fillId="8" borderId="4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horizontal="center"/>
    </xf>
    <xf numFmtId="3" fontId="3" fillId="0" borderId="13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9" fontId="3" fillId="0" borderId="13" xfId="0" applyNumberFormat="1" applyFont="1" applyBorder="1" applyAlignment="1">
      <alignment horizontal="center"/>
    </xf>
    <xf numFmtId="168" fontId="3" fillId="0" borderId="13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12" borderId="2" xfId="0" applyNumberFormat="1" applyFill="1" applyBorder="1" applyAlignment="1">
      <alignment horizontal="center"/>
    </xf>
    <xf numFmtId="1" fontId="7" fillId="0" borderId="14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right"/>
    </xf>
    <xf numFmtId="0" fontId="10" fillId="0" borderId="2" xfId="0" applyFont="1" applyBorder="1" applyAlignment="1">
      <alignment horizontal="left"/>
    </xf>
    <xf numFmtId="0" fontId="7" fillId="0" borderId="0" xfId="0" applyFont="1"/>
    <xf numFmtId="166" fontId="7" fillId="0" borderId="0" xfId="0" applyNumberFormat="1" applyFont="1"/>
    <xf numFmtId="0" fontId="12" fillId="0" borderId="2" xfId="0" applyFont="1" applyBorder="1" applyAlignment="1">
      <alignment horizontal="center"/>
    </xf>
    <xf numFmtId="0" fontId="14" fillId="10" borderId="2" xfId="0" applyFont="1" applyFill="1" applyBorder="1" applyAlignment="1">
      <alignment horizontal="center"/>
    </xf>
    <xf numFmtId="166" fontId="15" fillId="10" borderId="2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10" fontId="12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0" fontId="0" fillId="0" borderId="2" xfId="0" applyBorder="1"/>
    <xf numFmtId="0" fontId="16" fillId="0" borderId="0" xfId="0" applyFont="1" applyAlignment="1">
      <alignment horizontal="left"/>
    </xf>
    <xf numFmtId="0" fontId="16" fillId="0" borderId="0" xfId="0" applyFont="1"/>
    <xf numFmtId="2" fontId="11" fillId="6" borderId="2" xfId="0" applyNumberFormat="1" applyFont="1" applyFill="1" applyBorder="1" applyAlignment="1">
      <alignment horizontal="center"/>
    </xf>
    <xf numFmtId="2" fontId="11" fillId="0" borderId="0" xfId="0" applyNumberFormat="1" applyFont="1" applyAlignment="1">
      <alignment horizontal="center"/>
    </xf>
    <xf numFmtId="3" fontId="3" fillId="0" borderId="12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2" fontId="13" fillId="12" borderId="1" xfId="0" applyNumberFormat="1" applyFont="1" applyFill="1" applyBorder="1" applyAlignment="1">
      <alignment horizontal="right"/>
    </xf>
    <xf numFmtId="2" fontId="13" fillId="0" borderId="0" xfId="0" applyNumberFormat="1" applyFont="1" applyAlignment="1">
      <alignment horizontal="right"/>
    </xf>
    <xf numFmtId="3" fontId="13" fillId="0" borderId="12" xfId="0" applyNumberFormat="1" applyFont="1" applyBorder="1" applyAlignment="1">
      <alignment horizontal="right"/>
    </xf>
    <xf numFmtId="3" fontId="13" fillId="0" borderId="13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  <xf numFmtId="2" fontId="20" fillId="12" borderId="2" xfId="0" applyNumberFormat="1" applyFont="1" applyFill="1" applyBorder="1" applyAlignment="1">
      <alignment horizontal="right"/>
    </xf>
    <xf numFmtId="2" fontId="19" fillId="0" borderId="2" xfId="0" applyNumberFormat="1" applyFont="1" applyBorder="1" applyAlignment="1">
      <alignment horizontal="right"/>
    </xf>
    <xf numFmtId="2" fontId="0" fillId="0" borderId="21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7" xfId="0" applyFont="1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2" fontId="10" fillId="6" borderId="16" xfId="0" applyNumberFormat="1" applyFont="1" applyFill="1" applyBorder="1" applyAlignment="1">
      <alignment horizontal="center"/>
    </xf>
    <xf numFmtId="167" fontId="7" fillId="6" borderId="25" xfId="0" applyNumberFormat="1" applyFont="1" applyFill="1" applyBorder="1" applyAlignment="1">
      <alignment horizontal="right"/>
    </xf>
    <xf numFmtId="167" fontId="7" fillId="6" borderId="16" xfId="0" applyNumberFormat="1" applyFont="1" applyFill="1" applyBorder="1" applyAlignment="1">
      <alignment horizontal="right"/>
    </xf>
    <xf numFmtId="167" fontId="7" fillId="8" borderId="16" xfId="0" applyNumberFormat="1" applyFont="1" applyFill="1" applyBorder="1" applyAlignment="1">
      <alignment horizontal="right"/>
    </xf>
    <xf numFmtId="167" fontId="7" fillId="8" borderId="25" xfId="0" applyNumberFormat="1" applyFont="1" applyFill="1" applyBorder="1" applyAlignment="1">
      <alignment horizontal="right"/>
    </xf>
    <xf numFmtId="0" fontId="10" fillId="7" borderId="16" xfId="0" applyFont="1" applyFill="1" applyBorder="1" applyAlignment="1">
      <alignment horizontal="center"/>
    </xf>
    <xf numFmtId="0" fontId="7" fillId="7" borderId="25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right"/>
    </xf>
    <xf numFmtId="0" fontId="7" fillId="9" borderId="25" xfId="0" applyFont="1" applyFill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7" fillId="0" borderId="25" xfId="0" applyFont="1" applyBorder="1" applyAlignment="1">
      <alignment horizontal="left"/>
    </xf>
    <xf numFmtId="0" fontId="10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right"/>
    </xf>
    <xf numFmtId="2" fontId="7" fillId="0" borderId="25" xfId="0" applyNumberFormat="1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2" fontId="10" fillId="12" borderId="25" xfId="0" applyNumberFormat="1" applyFont="1" applyFill="1" applyBorder="1" applyAlignment="1">
      <alignment horizontal="right"/>
    </xf>
    <xf numFmtId="2" fontId="17" fillId="12" borderId="26" xfId="0" applyNumberFormat="1" applyFont="1" applyFill="1" applyBorder="1" applyAlignment="1">
      <alignment horizontal="right"/>
    </xf>
    <xf numFmtId="2" fontId="18" fillId="12" borderId="27" xfId="0" applyNumberFormat="1" applyFont="1" applyFill="1" applyBorder="1" applyAlignment="1">
      <alignment horizontal="right"/>
    </xf>
    <xf numFmtId="0" fontId="0" fillId="5" borderId="28" xfId="0" applyFill="1" applyBorder="1" applyAlignment="1">
      <alignment horizontal="center"/>
    </xf>
    <xf numFmtId="0" fontId="13" fillId="5" borderId="29" xfId="0" applyFont="1" applyFill="1" applyBorder="1" applyAlignment="1">
      <alignment horizontal="left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2" fontId="18" fillId="12" borderId="31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center"/>
    </xf>
    <xf numFmtId="2" fontId="18" fillId="12" borderId="33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3" fontId="13" fillId="0" borderId="29" xfId="0" applyNumberFormat="1" applyFont="1" applyBorder="1" applyAlignment="1">
      <alignment horizontal="right"/>
    </xf>
    <xf numFmtId="168" fontId="13" fillId="0" borderId="29" xfId="0" applyNumberFormat="1" applyFont="1" applyBorder="1" applyAlignment="1">
      <alignment horizontal="right"/>
    </xf>
    <xf numFmtId="2" fontId="13" fillId="0" borderId="29" xfId="0" applyNumberFormat="1" applyFont="1" applyBorder="1" applyAlignment="1">
      <alignment horizontal="right"/>
    </xf>
    <xf numFmtId="0" fontId="3" fillId="0" borderId="23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3" fillId="0" borderId="34" xfId="0" applyFont="1" applyBorder="1" applyAlignment="1">
      <alignment horizontal="center"/>
    </xf>
    <xf numFmtId="2" fontId="3" fillId="0" borderId="34" xfId="0" applyNumberFormat="1" applyFont="1" applyBorder="1" applyAlignment="1">
      <alignment horizontal="center"/>
    </xf>
    <xf numFmtId="165" fontId="3" fillId="0" borderId="34" xfId="0" applyNumberFormat="1" applyFont="1" applyBorder="1" applyAlignment="1">
      <alignment horizontal="right"/>
    </xf>
    <xf numFmtId="167" fontId="3" fillId="0" borderId="34" xfId="0" applyNumberFormat="1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2" fontId="3" fillId="0" borderId="34" xfId="0" applyNumberFormat="1" applyFont="1" applyBorder="1" applyAlignment="1">
      <alignment horizontal="right"/>
    </xf>
    <xf numFmtId="2" fontId="13" fillId="0" borderId="34" xfId="0" applyNumberFormat="1" applyFont="1" applyBorder="1" applyAlignment="1">
      <alignment horizontal="right"/>
    </xf>
    <xf numFmtId="2" fontId="13" fillId="0" borderId="24" xfId="0" applyNumberFormat="1" applyFont="1" applyBorder="1" applyAlignment="1">
      <alignment horizontal="right"/>
    </xf>
    <xf numFmtId="0" fontId="12" fillId="6" borderId="35" xfId="0" applyFont="1" applyFill="1" applyBorder="1" applyAlignment="1">
      <alignment horizontal="center"/>
    </xf>
    <xf numFmtId="2" fontId="12" fillId="0" borderId="36" xfId="0" applyNumberFormat="1" applyFont="1" applyBorder="1" applyAlignment="1">
      <alignment horizontal="center"/>
    </xf>
    <xf numFmtId="0" fontId="12" fillId="8" borderId="36" xfId="0" applyFont="1" applyFill="1" applyBorder="1" applyAlignment="1">
      <alignment horizontal="center"/>
    </xf>
    <xf numFmtId="0" fontId="12" fillId="0" borderId="37" xfId="0" applyFont="1" applyBorder="1" applyAlignment="1">
      <alignment horizontal="left"/>
    </xf>
    <xf numFmtId="167" fontId="0" fillId="6" borderId="18" xfId="0" applyNumberFormat="1" applyFill="1" applyBorder="1" applyAlignment="1">
      <alignment horizontal="center"/>
    </xf>
    <xf numFmtId="0" fontId="0" fillId="0" borderId="19" xfId="0" applyBorder="1" applyAlignment="1">
      <alignment horizontal="left"/>
    </xf>
    <xf numFmtId="1" fontId="7" fillId="0" borderId="28" xfId="0" applyNumberFormat="1" applyFont="1" applyBorder="1" applyAlignment="1">
      <alignment horizontal="center"/>
    </xf>
    <xf numFmtId="1" fontId="7" fillId="0" borderId="29" xfId="0" applyNumberFormat="1" applyFont="1" applyBorder="1" applyAlignment="1">
      <alignment horizontal="left"/>
    </xf>
    <xf numFmtId="0" fontId="3" fillId="6" borderId="30" xfId="0" applyFont="1" applyFill="1" applyBorder="1" applyAlignment="1">
      <alignment horizontal="center"/>
    </xf>
    <xf numFmtId="3" fontId="3" fillId="0" borderId="31" xfId="0" applyNumberFormat="1" applyFont="1" applyBorder="1" applyAlignment="1">
      <alignment horizontal="center"/>
    </xf>
    <xf numFmtId="167" fontId="3" fillId="6" borderId="38" xfId="0" applyNumberFormat="1" applyFont="1" applyFill="1" applyBorder="1" applyAlignment="1">
      <alignment horizontal="center"/>
    </xf>
    <xf numFmtId="3" fontId="3" fillId="0" borderId="39" xfId="0" applyNumberFormat="1" applyFont="1" applyBorder="1" applyAlignment="1">
      <alignment horizontal="center"/>
    </xf>
    <xf numFmtId="0" fontId="11" fillId="6" borderId="40" xfId="0" applyFont="1" applyFill="1" applyBorder="1" applyAlignment="1">
      <alignment horizontal="center"/>
    </xf>
    <xf numFmtId="166" fontId="3" fillId="6" borderId="38" xfId="0" applyNumberFormat="1" applyFont="1" applyFill="1" applyBorder="1" applyAlignment="1">
      <alignment horizontal="center"/>
    </xf>
    <xf numFmtId="3" fontId="3" fillId="0" borderId="33" xfId="0" applyNumberFormat="1" applyFont="1" applyBorder="1" applyAlignment="1">
      <alignment horizontal="center"/>
    </xf>
    <xf numFmtId="166" fontId="3" fillId="6" borderId="30" xfId="0" applyNumberFormat="1" applyFont="1" applyFill="1" applyBorder="1" applyAlignment="1">
      <alignment horizontal="center"/>
    </xf>
    <xf numFmtId="9" fontId="3" fillId="0" borderId="39" xfId="0" applyNumberFormat="1" applyFont="1" applyBorder="1" applyAlignment="1">
      <alignment horizontal="center"/>
    </xf>
    <xf numFmtId="166" fontId="3" fillId="6" borderId="32" xfId="0" applyNumberFormat="1" applyFont="1" applyFill="1" applyBorder="1" applyAlignment="1">
      <alignment horizontal="center"/>
    </xf>
    <xf numFmtId="168" fontId="3" fillId="0" borderId="33" xfId="0" applyNumberFormat="1" applyFont="1" applyBorder="1" applyAlignment="1">
      <alignment horizontal="center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0" fontId="14" fillId="10" borderId="18" xfId="0" applyFont="1" applyFill="1" applyBorder="1" applyAlignment="1">
      <alignment horizontal="center"/>
    </xf>
    <xf numFmtId="0" fontId="14" fillId="10" borderId="19" xfId="0" applyFont="1" applyFill="1" applyBorder="1" applyAlignment="1">
      <alignment horizontal="center"/>
    </xf>
    <xf numFmtId="0" fontId="15" fillId="10" borderId="18" xfId="0" applyFont="1" applyFill="1" applyBorder="1" applyAlignment="1">
      <alignment horizontal="center"/>
    </xf>
    <xf numFmtId="0" fontId="15" fillId="10" borderId="19" xfId="0" applyFont="1" applyFill="1" applyBorder="1" applyAlignment="1">
      <alignment horizontal="center"/>
    </xf>
    <xf numFmtId="0" fontId="15" fillId="10" borderId="20" xfId="0" applyFont="1" applyFill="1" applyBorder="1" applyAlignment="1">
      <alignment horizontal="center"/>
    </xf>
    <xf numFmtId="166" fontId="15" fillId="10" borderId="21" xfId="0" applyNumberFormat="1" applyFont="1" applyFill="1" applyBorder="1" applyAlignment="1">
      <alignment horizontal="center"/>
    </xf>
    <xf numFmtId="0" fontId="15" fillId="10" borderId="22" xfId="0" applyFont="1" applyFill="1" applyBorder="1" applyAlignment="1">
      <alignment horizontal="center"/>
    </xf>
    <xf numFmtId="0" fontId="7" fillId="0" borderId="15" xfId="0" applyFont="1" applyBorder="1" applyAlignment="1">
      <alignment horizontal="right"/>
    </xf>
    <xf numFmtId="4" fontId="7" fillId="0" borderId="16" xfId="0" applyNumberFormat="1" applyFont="1" applyBorder="1" applyAlignment="1">
      <alignment horizontal="right"/>
    </xf>
    <xf numFmtId="166" fontId="12" fillId="11" borderId="40" xfId="0" applyNumberFormat="1" applyFont="1" applyFill="1" applyBorder="1"/>
    <xf numFmtId="166" fontId="2" fillId="0" borderId="28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4" xfId="0" applyBorder="1"/>
    <xf numFmtId="4" fontId="0" fillId="0" borderId="34" xfId="0" applyNumberForma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3" fillId="0" borderId="19" xfId="0" applyNumberFormat="1" applyFont="1" applyBorder="1" applyAlignment="1">
      <alignment horizontal="center"/>
    </xf>
    <xf numFmtId="3" fontId="2" fillId="0" borderId="29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166" fontId="7" fillId="0" borderId="41" xfId="0" applyNumberFormat="1" applyFont="1" applyBorder="1" applyAlignment="1">
      <alignment horizontal="right"/>
    </xf>
    <xf numFmtId="166" fontId="2" fillId="0" borderId="13" xfId="0" applyNumberFormat="1" applyFont="1" applyBorder="1" applyAlignment="1">
      <alignment horizontal="right"/>
    </xf>
    <xf numFmtId="166" fontId="0" fillId="0" borderId="42" xfId="0" applyNumberFormat="1" applyBorder="1" applyAlignment="1">
      <alignment horizontal="center"/>
    </xf>
    <xf numFmtId="0" fontId="12" fillId="0" borderId="16" xfId="0" applyFont="1" applyBorder="1" applyAlignment="1">
      <alignment horizontal="left"/>
    </xf>
    <xf numFmtId="166" fontId="12" fillId="0" borderId="17" xfId="0" applyNumberFormat="1" applyFont="1" applyBorder="1" applyAlignment="1">
      <alignment horizontal="right"/>
    </xf>
    <xf numFmtId="166" fontId="0" fillId="0" borderId="19" xfId="0" applyNumberFormat="1" applyBorder="1" applyAlignment="1">
      <alignment horizontal="right"/>
    </xf>
    <xf numFmtId="0" fontId="12" fillId="0" borderId="16" xfId="0" applyFont="1" applyBorder="1"/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4" xfId="0" applyBorder="1" applyAlignment="1">
      <alignment horizontal="left"/>
    </xf>
    <xf numFmtId="2" fontId="19" fillId="12" borderId="2" xfId="0" applyNumberFormat="1" applyFont="1" applyFill="1" applyBorder="1" applyAlignment="1">
      <alignment horizontal="right"/>
    </xf>
    <xf numFmtId="0" fontId="0" fillId="0" borderId="22" xfId="0" applyBorder="1"/>
    <xf numFmtId="2" fontId="22" fillId="12" borderId="16" xfId="0" applyNumberFormat="1" applyFont="1" applyFill="1" applyBorder="1" applyAlignment="1">
      <alignment horizontal="right"/>
    </xf>
    <xf numFmtId="2" fontId="12" fillId="0" borderId="16" xfId="0" applyNumberFormat="1" applyFont="1" applyBorder="1" applyAlignment="1">
      <alignment horizontal="right"/>
    </xf>
    <xf numFmtId="2" fontId="12" fillId="12" borderId="16" xfId="0" applyNumberFormat="1" applyFont="1" applyFill="1" applyBorder="1" applyAlignment="1">
      <alignment horizontal="right"/>
    </xf>
    <xf numFmtId="2" fontId="12" fillId="0" borderId="16" xfId="0" applyNumberFormat="1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0" xfId="0" applyFont="1" applyAlignment="1">
      <alignment horizontal="right"/>
    </xf>
    <xf numFmtId="2" fontId="0" fillId="0" borderId="21" xfId="0" applyNumberFormat="1" applyBorder="1" applyAlignment="1">
      <alignment horizontal="right"/>
    </xf>
    <xf numFmtId="165" fontId="3" fillId="6" borderId="6" xfId="0" applyNumberFormat="1" applyFont="1" applyFill="1" applyBorder="1" applyAlignment="1">
      <alignment horizontal="right"/>
    </xf>
    <xf numFmtId="165" fontId="3" fillId="6" borderId="12" xfId="0" applyNumberFormat="1" applyFont="1" applyFill="1" applyBorder="1" applyAlignment="1">
      <alignment horizontal="right"/>
    </xf>
    <xf numFmtId="164" fontId="3" fillId="6" borderId="43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center"/>
    </xf>
    <xf numFmtId="165" fontId="7" fillId="6" borderId="25" xfId="0" applyNumberFormat="1" applyFont="1" applyFill="1" applyBorder="1" applyAlignment="1">
      <alignment horizontal="right"/>
    </xf>
    <xf numFmtId="165" fontId="3" fillId="6" borderId="1" xfId="0" applyNumberFormat="1" applyFont="1" applyFill="1" applyBorder="1" applyAlignment="1">
      <alignment horizontal="right"/>
    </xf>
    <xf numFmtId="165" fontId="3" fillId="6" borderId="4" xfId="0" applyNumberFormat="1" applyFont="1" applyFill="1" applyBorder="1" applyAlignment="1">
      <alignment horizontal="right"/>
    </xf>
    <xf numFmtId="165" fontId="3" fillId="6" borderId="8" xfId="0" applyNumberFormat="1" applyFont="1" applyFill="1" applyBorder="1" applyAlignment="1">
      <alignment horizontal="right"/>
    </xf>
    <xf numFmtId="1" fontId="11" fillId="0" borderId="28" xfId="0" applyNumberFormat="1" applyFont="1" applyBorder="1" applyAlignment="1">
      <alignment horizontal="center"/>
    </xf>
    <xf numFmtId="1" fontId="11" fillId="0" borderId="29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left"/>
    </xf>
    <xf numFmtId="0" fontId="3" fillId="0" borderId="20" xfId="0" applyFont="1" applyBorder="1" applyAlignment="1">
      <alignment horizontal="center"/>
    </xf>
    <xf numFmtId="9" fontId="22" fillId="13" borderId="16" xfId="0" applyNumberFormat="1" applyFont="1" applyFill="1" applyBorder="1" applyAlignment="1">
      <alignment horizontal="right"/>
    </xf>
    <xf numFmtId="9" fontId="21" fillId="13" borderId="9" xfId="0" applyNumberFormat="1" applyFont="1" applyFill="1" applyBorder="1" applyAlignment="1">
      <alignment horizontal="right"/>
    </xf>
    <xf numFmtId="9" fontId="0" fillId="0" borderId="21" xfId="0" applyNumberFormat="1" applyBorder="1" applyAlignment="1">
      <alignment horizontal="right"/>
    </xf>
    <xf numFmtId="9" fontId="0" fillId="0" borderId="0" xfId="0" applyNumberFormat="1" applyAlignment="1">
      <alignment horizontal="right"/>
    </xf>
    <xf numFmtId="9" fontId="1" fillId="0" borderId="0" xfId="0" applyNumberFormat="1" applyFont="1" applyAlignment="1">
      <alignment horizontal="right"/>
    </xf>
    <xf numFmtId="0" fontId="12" fillId="0" borderId="35" xfId="0" applyFont="1" applyBorder="1" applyAlignment="1">
      <alignment horizontal="center"/>
    </xf>
    <xf numFmtId="2" fontId="19" fillId="14" borderId="2" xfId="0" applyNumberFormat="1" applyFont="1" applyFill="1" applyBorder="1" applyAlignment="1">
      <alignment horizontal="right"/>
    </xf>
    <xf numFmtId="0" fontId="0" fillId="14" borderId="2" xfId="0" applyFill="1" applyBorder="1" applyAlignment="1">
      <alignment horizontal="center"/>
    </xf>
    <xf numFmtId="0" fontId="0" fillId="14" borderId="19" xfId="0" applyFill="1" applyBorder="1"/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2" fontId="19" fillId="0" borderId="0" xfId="0" applyNumberFormat="1" applyFont="1" applyAlignment="1">
      <alignment horizontal="center" vertical="top"/>
    </xf>
    <xf numFmtId="0" fontId="23" fillId="15" borderId="45" xfId="0" applyFont="1" applyFill="1" applyBorder="1" applyAlignment="1">
      <alignment horizontal="center" vertical="top"/>
    </xf>
    <xf numFmtId="0" fontId="23" fillId="15" borderId="46" xfId="0" applyFont="1" applyFill="1" applyBorder="1" applyAlignment="1">
      <alignment horizontal="center" vertical="top" wrapText="1"/>
    </xf>
    <xf numFmtId="0" fontId="23" fillId="15" borderId="46" xfId="0" applyFont="1" applyFill="1" applyBorder="1" applyAlignment="1">
      <alignment horizontal="center" vertical="top"/>
    </xf>
    <xf numFmtId="2" fontId="23" fillId="15" borderId="47" xfId="0" applyNumberFormat="1" applyFont="1" applyFill="1" applyBorder="1" applyAlignment="1">
      <alignment horizontal="center" vertical="top"/>
    </xf>
    <xf numFmtId="0" fontId="24" fillId="15" borderId="48" xfId="0" applyFont="1" applyFill="1" applyBorder="1" applyAlignment="1">
      <alignment horizontal="center" vertical="top"/>
    </xf>
    <xf numFmtId="0" fontId="24" fillId="15" borderId="44" xfId="0" applyFont="1" applyFill="1" applyBorder="1" applyAlignment="1">
      <alignment vertical="top"/>
    </xf>
    <xf numFmtId="0" fontId="24" fillId="15" borderId="44" xfId="0" applyFont="1" applyFill="1" applyBorder="1" applyAlignment="1">
      <alignment horizontal="center" vertical="top"/>
    </xf>
    <xf numFmtId="0" fontId="25" fillId="15" borderId="44" xfId="0" applyFont="1" applyFill="1" applyBorder="1" applyAlignment="1">
      <alignment horizontal="center" vertical="top"/>
    </xf>
    <xf numFmtId="2" fontId="26" fillId="15" borderId="49" xfId="0" applyNumberFormat="1" applyFont="1" applyFill="1" applyBorder="1" applyAlignment="1">
      <alignment horizontal="center" vertical="top"/>
    </xf>
    <xf numFmtId="0" fontId="24" fillId="15" borderId="48" xfId="0" applyFont="1" applyFill="1" applyBorder="1" applyAlignment="1">
      <alignment vertical="top"/>
    </xf>
    <xf numFmtId="0" fontId="25" fillId="15" borderId="50" xfId="0" applyFont="1" applyFill="1" applyBorder="1" applyAlignment="1">
      <alignment horizontal="center" vertical="top"/>
    </xf>
    <xf numFmtId="0" fontId="25" fillId="15" borderId="51" xfId="0" applyFont="1" applyFill="1" applyBorder="1" applyAlignment="1">
      <alignment horizontal="center" vertical="top"/>
    </xf>
    <xf numFmtId="2" fontId="25" fillId="15" borderId="52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23" fillId="15" borderId="53" xfId="0" applyFont="1" applyFill="1" applyBorder="1" applyAlignment="1">
      <alignment horizontal="center"/>
    </xf>
    <xf numFmtId="0" fontId="23" fillId="15" borderId="25" xfId="0" applyFont="1" applyFill="1" applyBorder="1" applyAlignment="1">
      <alignment horizontal="center"/>
    </xf>
    <xf numFmtId="0" fontId="23" fillId="15" borderId="26" xfId="0" applyFont="1" applyFill="1" applyBorder="1" applyAlignment="1">
      <alignment horizontal="center"/>
    </xf>
    <xf numFmtId="0" fontId="24" fillId="15" borderId="1" xfId="0" applyFont="1" applyFill="1" applyBorder="1" applyAlignment="1">
      <alignment horizontal="center"/>
    </xf>
    <xf numFmtId="0" fontId="24" fillId="15" borderId="55" xfId="0" applyFont="1" applyFill="1" applyBorder="1" applyAlignment="1">
      <alignment horizontal="center"/>
    </xf>
    <xf numFmtId="0" fontId="28" fillId="15" borderId="40" xfId="0" applyFont="1" applyFill="1" applyBorder="1" applyAlignment="1">
      <alignment horizontal="center"/>
    </xf>
    <xf numFmtId="0" fontId="28" fillId="15" borderId="54" xfId="0" applyFont="1" applyFill="1" applyBorder="1" applyAlignment="1">
      <alignment horizontal="center"/>
    </xf>
    <xf numFmtId="0" fontId="28" fillId="15" borderId="1" xfId="0" applyFont="1" applyFill="1" applyBorder="1" applyAlignment="1">
      <alignment horizontal="center"/>
    </xf>
    <xf numFmtId="0" fontId="28" fillId="15" borderId="55" xfId="0" applyFont="1" applyFill="1" applyBorder="1" applyAlignment="1">
      <alignment horizontal="center"/>
    </xf>
    <xf numFmtId="0" fontId="25" fillId="15" borderId="27" xfId="0" applyFont="1" applyFill="1" applyBorder="1" applyAlignment="1">
      <alignment horizontal="center"/>
    </xf>
    <xf numFmtId="0" fontId="25" fillId="15" borderId="56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5" borderId="0" xfId="0" applyFill="1" applyAlignment="1">
      <alignment horizontal="left"/>
    </xf>
    <xf numFmtId="0" fontId="11" fillId="5" borderId="0" xfId="0" applyFont="1" applyFill="1" applyAlignment="1">
      <alignment horizontal="center"/>
    </xf>
    <xf numFmtId="2" fontId="11" fillId="5" borderId="0" xfId="0" applyNumberFormat="1" applyFont="1" applyFill="1" applyAlignment="1">
      <alignment horizontal="center"/>
    </xf>
    <xf numFmtId="165" fontId="3" fillId="5" borderId="0" xfId="0" applyNumberFormat="1" applyFont="1" applyFill="1" applyAlignment="1">
      <alignment horizontal="right"/>
    </xf>
    <xf numFmtId="167" fontId="0" fillId="5" borderId="0" xfId="0" applyNumberFormat="1" applyFill="1" applyAlignment="1">
      <alignment horizontal="right"/>
    </xf>
    <xf numFmtId="167" fontId="3" fillId="5" borderId="0" xfId="0" applyNumberFormat="1" applyFont="1" applyFill="1" applyAlignment="1">
      <alignment horizontal="right"/>
    </xf>
    <xf numFmtId="0" fontId="11" fillId="5" borderId="0" xfId="0" applyFont="1" applyFill="1" applyAlignment="1">
      <alignment horizontal="right"/>
    </xf>
    <xf numFmtId="0" fontId="3" fillId="5" borderId="0" xfId="0" applyFont="1" applyFill="1" applyAlignment="1">
      <alignment horizontal="left"/>
    </xf>
    <xf numFmtId="0" fontId="0" fillId="5" borderId="0" xfId="0" applyFill="1" applyAlignment="1">
      <alignment horizontal="right"/>
    </xf>
    <xf numFmtId="0" fontId="13" fillId="5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right"/>
    </xf>
    <xf numFmtId="9" fontId="3" fillId="0" borderId="0" xfId="0" applyNumberFormat="1" applyFont="1" applyAlignment="1">
      <alignment horizontal="right"/>
    </xf>
    <xf numFmtId="9" fontId="1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/>
    </xf>
    <xf numFmtId="168" fontId="3" fillId="0" borderId="0" xfId="0" applyNumberFormat="1" applyFont="1" applyAlignment="1">
      <alignment horizontal="right"/>
    </xf>
    <xf numFmtId="168" fontId="1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center"/>
    </xf>
    <xf numFmtId="0" fontId="0" fillId="16" borderId="9" xfId="0" applyFill="1" applyBorder="1" applyAlignment="1">
      <alignment horizontal="left"/>
    </xf>
    <xf numFmtId="0" fontId="0" fillId="16" borderId="2" xfId="0" applyFill="1" applyBorder="1" applyAlignment="1">
      <alignment horizontal="left"/>
    </xf>
    <xf numFmtId="4" fontId="0" fillId="16" borderId="1" xfId="0" applyNumberFormat="1" applyFill="1" applyBorder="1" applyAlignment="1">
      <alignment horizontal="right"/>
    </xf>
    <xf numFmtId="166" fontId="0" fillId="16" borderId="10" xfId="0" applyNumberFormat="1" applyFill="1" applyBorder="1" applyAlignment="1">
      <alignment horizontal="right"/>
    </xf>
    <xf numFmtId="0" fontId="0" fillId="17" borderId="9" xfId="0" applyFill="1" applyBorder="1" applyAlignment="1">
      <alignment horizontal="left"/>
    </xf>
    <xf numFmtId="0" fontId="0" fillId="17" borderId="2" xfId="0" applyFill="1" applyBorder="1" applyAlignment="1">
      <alignment horizontal="left"/>
    </xf>
    <xf numFmtId="4" fontId="0" fillId="17" borderId="1" xfId="0" applyNumberFormat="1" applyFill="1" applyBorder="1" applyAlignment="1">
      <alignment horizontal="right"/>
    </xf>
    <xf numFmtId="166" fontId="0" fillId="17" borderId="10" xfId="0" applyNumberFormat="1" applyFill="1" applyBorder="1" applyAlignment="1">
      <alignment horizontal="right"/>
    </xf>
    <xf numFmtId="166" fontId="12" fillId="17" borderId="40" xfId="0" applyNumberFormat="1" applyFont="1" applyFill="1" applyBorder="1"/>
    <xf numFmtId="2" fontId="20" fillId="0" borderId="2" xfId="0" applyNumberFormat="1" applyFont="1" applyBorder="1" applyAlignment="1">
      <alignment horizontal="right"/>
    </xf>
    <xf numFmtId="0" fontId="1" fillId="0" borderId="32" xfId="0" applyFont="1" applyBorder="1" applyAlignment="1">
      <alignment horizontal="center" vertical="center"/>
    </xf>
    <xf numFmtId="0" fontId="29" fillId="14" borderId="1" xfId="0" applyFont="1" applyFill="1" applyBorder="1" applyAlignment="1">
      <alignment horizontal="left"/>
    </xf>
    <xf numFmtId="2" fontId="21" fillId="14" borderId="1" xfId="0" applyNumberFormat="1" applyFont="1" applyFill="1" applyBorder="1" applyAlignment="1">
      <alignment horizontal="center"/>
    </xf>
    <xf numFmtId="2" fontId="3" fillId="10" borderId="4" xfId="0" applyNumberFormat="1" applyFont="1" applyFill="1" applyBorder="1" applyAlignment="1">
      <alignment horizontal="right"/>
    </xf>
    <xf numFmtId="2" fontId="21" fillId="14" borderId="2" xfId="0" applyNumberFormat="1" applyFont="1" applyFill="1" applyBorder="1" applyAlignment="1">
      <alignment horizontal="center"/>
    </xf>
    <xf numFmtId="4" fontId="7" fillId="0" borderId="20" xfId="0" applyNumberFormat="1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2" fontId="0" fillId="0" borderId="18" xfId="0" applyNumberFormat="1" applyBorder="1" applyAlignment="1">
      <alignment horizontal="center"/>
    </xf>
    <xf numFmtId="167" fontId="0" fillId="6" borderId="3" xfId="0" applyNumberForma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166" fontId="0" fillId="6" borderId="3" xfId="0" applyNumberForma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5" fillId="15" borderId="51" xfId="0" applyFont="1" applyFill="1" applyBorder="1" applyAlignment="1">
      <alignment horizontal="center" vertical="top"/>
    </xf>
    <xf numFmtId="0" fontId="27" fillId="15" borderId="51" xfId="0" applyFont="1" applyFill="1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6" fontId="12" fillId="16" borderId="30" xfId="0" applyNumberFormat="1" applyFont="1" applyFill="1" applyBorder="1" applyAlignment="1">
      <alignment vertical="center"/>
    </xf>
    <xf numFmtId="0" fontId="12" fillId="16" borderId="32" xfId="0" applyFont="1" applyFill="1" applyBorder="1" applyAlignment="1">
      <alignment vertical="center"/>
    </xf>
    <xf numFmtId="166" fontId="12" fillId="17" borderId="30" xfId="0" applyNumberFormat="1" applyFont="1" applyFill="1" applyBorder="1" applyAlignment="1">
      <alignment vertical="center"/>
    </xf>
    <xf numFmtId="0" fontId="12" fillId="17" borderId="38" xfId="0" applyFont="1" applyFill="1" applyBorder="1" applyAlignment="1">
      <alignment vertical="center"/>
    </xf>
    <xf numFmtId="0" fontId="12" fillId="17" borderId="32" xfId="0" applyFont="1" applyFill="1" applyBorder="1" applyAlignment="1">
      <alignment vertical="center"/>
    </xf>
    <xf numFmtId="166" fontId="12" fillId="11" borderId="30" xfId="0" applyNumberFormat="1" applyFont="1" applyFill="1" applyBorder="1" applyAlignment="1">
      <alignment vertical="center"/>
    </xf>
    <xf numFmtId="0" fontId="12" fillId="11" borderId="32" xfId="0" applyFont="1" applyFill="1" applyBorder="1" applyAlignment="1">
      <alignment vertical="center"/>
    </xf>
    <xf numFmtId="0" fontId="12" fillId="16" borderId="38" xfId="0" applyFont="1" applyFill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E2EFDA"/>
      <color rgb="FFFFF2CC"/>
      <color rgb="FFFCF3DB"/>
      <color rgb="FFECECEC"/>
      <color rgb="FFE6E6E6"/>
      <color rgb="FFF2F2F2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r.fr/cours/argent/cad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iographi.ca/fr/bio/guillimin_charles_2F.html" TargetMode="External"/><Relationship Id="rId7" Type="http://schemas.openxmlformats.org/officeDocument/2006/relationships/printerSettings" Target="../printerSettings/printerSettings8.bin"/><Relationship Id="rId2" Type="http://schemas.openxmlformats.org/officeDocument/2006/relationships/hyperlink" Target="https://www.biographi.ca/fr/bio/foucher_francois_3F.html" TargetMode="External"/><Relationship Id="rId1" Type="http://schemas.openxmlformats.org/officeDocument/2006/relationships/hyperlink" Target="https://www.biographi.ca/fr/bio/cugnet_francois_etienne_3F.html" TargetMode="External"/><Relationship Id="rId6" Type="http://schemas.openxmlformats.org/officeDocument/2006/relationships/hyperlink" Target="https://www.google.com/search?q=Personnage+nomm%C3%A9+Walon+en+Nouvelle-France+vers+1730&amp;num=10&amp;newwindow=1&amp;sca_esv=28e22e78b1f4eede&amp;rlz=1C1GCEA_enCA1194CA1194&amp;sxsrf=APpeQnvG-Vk0woekGgwdYqDwSMuljcx0kA%3A1785091118451&amp;ei=LlRmapyPG62mruEPh_uDgAQ&amp;biw=1150&amp;bih=550&amp;ved=0ahUKEwic3obQ_vCVAxUtkysGHYf9AEAQ4dUDCBA&amp;uact=5&amp;oq=Personnage+nomm%C3%A9+Walon+en+Nouvelle-France+vers+1730%20&amp;gs_lp=Egxnd3Mtd2l6LXNlcnAiNFBlcnNvbm5hZ2Ugbm9tbcOpIFdhbG9uIGVuIE5vdXZlbGxlLUZyYW5jZSB2ZXJzIDE3MzAyBRAhGJ8FSPZ6UMMVWJ52cAR4AZABAJgBpgGgAeIqqgEFMTQuMzW4AQPIAQD4AQH4AQKYAjWgAt4rqAIKwgIKEAAYRxjWBBiwA8ICBxAjGOoCGCfCAg0QIxjwBRieBhjqAhgnwgINECMY8AUYyQIY6gIYJ8ICChAjGPAFGOoCGCfCAgoQIxjwBRjJAhgnwgIEECMYJ8ICChAAGIAEGIoFGEPCAg4QABiABBiKBRixAxiDAcICBRAAGIAEwgIOEC4YgAQYsQMYxwEY0QPCAggQABiABBixA8ICChAjGJ4GGPAFGCfCAgsQABiABBixAxiDAcICDRAAGIAEGIoFGEMYsQPCAgoQLhiABBiKBRhDwgIIEC4YsQMYgATCAggQLhiABBixA8ICCBAuGMsBGIAEwgIIEAAYgAQYywHCAggQLhiABBjLAcICBRAuGIAEwgIGEAAYFhgewgIHEAAYgAQYDcICBhAAGB4YDcICCBAAGIkFGKIEwgIIEAAYgAQYogTCAgUQABjvBcICBRAhGKABwgIEECEYFcICBxAhGAoYoAGYAwPxBecseqZgihWoiAYBkAYIkgcFMTYuMzegB43sAbIHBTEyLjM3uAfUK8IHBzIyLjMwLjHIB0WACAE&amp;sclient=gws-wiz-serp" TargetMode="External"/><Relationship Id="rId5" Type="http://schemas.openxmlformats.org/officeDocument/2006/relationships/hyperlink" Target="https://www.biographi.ca/fr/resultats.php/?ft=charly" TargetMode="External"/><Relationship Id="rId4" Type="http://schemas.openxmlformats.org/officeDocument/2006/relationships/hyperlink" Target="https://www.biographi.ca/fr/resultats.php/?ft=perthu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516F0-2311-4D60-8834-2EB641DDFB27}">
  <sheetPr>
    <pageSetUpPr fitToPage="1"/>
  </sheetPr>
  <dimension ref="A1:AE66"/>
  <sheetViews>
    <sheetView showGridLines="0" zoomScaleNormal="100" workbookViewId="0">
      <pane ySplit="1" topLeftCell="A2" activePane="bottomLeft" state="frozen"/>
      <selection pane="bottomLeft" activeCell="P1" sqref="P1"/>
    </sheetView>
  </sheetViews>
  <sheetFormatPr baseColWidth="10" defaultRowHeight="15" x14ac:dyDescent="0.3"/>
  <cols>
    <col min="1" max="1" width="3.33203125" style="2" bestFit="1" customWidth="1"/>
    <col min="2" max="2" width="20.1328125" style="13" bestFit="1" customWidth="1"/>
    <col min="3" max="3" width="3.9296875" style="2" bestFit="1" customWidth="1"/>
    <col min="4" max="4" width="2" style="39" bestFit="1" customWidth="1"/>
    <col min="5" max="5" width="1.9296875" style="39" bestFit="1" customWidth="1"/>
    <col min="6" max="6" width="2.59765625" style="39" bestFit="1" customWidth="1"/>
    <col min="7" max="7" width="3.6640625" style="147" bestFit="1" customWidth="1"/>
    <col min="8" max="8" width="6.9296875" style="42" bestFit="1" customWidth="1"/>
    <col min="9" max="9" width="7.86328125" style="43" bestFit="1" customWidth="1"/>
    <col min="10" max="10" width="10.3984375" style="43" bestFit="1" customWidth="1"/>
    <col min="11" max="11" width="6.796875" style="41" bestFit="1" customWidth="1"/>
    <col min="12" max="12" width="8.19921875" style="41" bestFit="1" customWidth="1"/>
    <col min="13" max="13" width="10.3984375" style="44" bestFit="1" customWidth="1"/>
    <col min="14" max="14" width="2.796875" style="39" bestFit="1" customWidth="1"/>
    <col min="15" max="15" width="2.33203125" style="39" bestFit="1" customWidth="1"/>
    <col min="16" max="16" width="5.59765625" style="2" bestFit="1" customWidth="1"/>
    <col min="17" max="17" width="2.86328125" style="53" bestFit="1" customWidth="1"/>
    <col min="18" max="18" width="2.3984375" style="53" bestFit="1" customWidth="1"/>
    <col min="19" max="19" width="6.796875" style="2" bestFit="1" customWidth="1"/>
    <col min="20" max="20" width="2.9296875" style="39" bestFit="1" customWidth="1"/>
    <col min="21" max="21" width="10.6640625" style="13" bestFit="1" customWidth="1"/>
    <col min="22" max="22" width="24.19921875" style="13" bestFit="1" customWidth="1"/>
    <col min="23" max="23" width="2.59765625" style="39" customWidth="1"/>
    <col min="24" max="25" width="1.9296875" style="53" bestFit="1" customWidth="1"/>
    <col min="26" max="26" width="7.73046875" style="105" bestFit="1" customWidth="1"/>
    <col min="27" max="27" width="5.53125" style="105" bestFit="1" customWidth="1"/>
    <col min="28" max="28" width="10.3984375" style="1" bestFit="1" customWidth="1"/>
    <col min="29" max="29" width="23.9296875" style="27" bestFit="1" customWidth="1"/>
    <col min="30" max="30" width="4.73046875" style="151" bestFit="1" customWidth="1"/>
    <col min="31" max="31" width="4.53125" style="151" bestFit="1" customWidth="1"/>
    <col min="32" max="16384" width="10.6640625" style="13"/>
  </cols>
  <sheetData>
    <row r="1" spans="1:31" s="36" customFormat="1" ht="14" thickTop="1" x14ac:dyDescent="0.3">
      <c r="A1" s="165" t="s">
        <v>93</v>
      </c>
      <c r="B1" s="166" t="s">
        <v>0</v>
      </c>
      <c r="C1" s="167" t="s">
        <v>107</v>
      </c>
      <c r="D1" s="168" t="s">
        <v>6</v>
      </c>
      <c r="E1" s="168" t="s">
        <v>7</v>
      </c>
      <c r="F1" s="168" t="s">
        <v>8</v>
      </c>
      <c r="G1" s="169" t="s">
        <v>179</v>
      </c>
      <c r="H1" s="277" t="s">
        <v>39</v>
      </c>
      <c r="I1" s="171" t="s">
        <v>88</v>
      </c>
      <c r="J1" s="170" t="s">
        <v>156</v>
      </c>
      <c r="K1" s="172" t="s">
        <v>51</v>
      </c>
      <c r="L1" s="173" t="s">
        <v>142</v>
      </c>
      <c r="M1" s="172" t="s">
        <v>143</v>
      </c>
      <c r="N1" s="174" t="s">
        <v>1</v>
      </c>
      <c r="O1" s="174" t="s">
        <v>2</v>
      </c>
      <c r="P1" s="175" t="s">
        <v>89</v>
      </c>
      <c r="Q1" s="176" t="s">
        <v>3</v>
      </c>
      <c r="R1" s="176" t="s">
        <v>4</v>
      </c>
      <c r="S1" s="177" t="s">
        <v>90</v>
      </c>
      <c r="T1" s="178" t="s">
        <v>85</v>
      </c>
      <c r="U1" s="179" t="s">
        <v>5</v>
      </c>
      <c r="V1" s="179" t="s">
        <v>99</v>
      </c>
      <c r="W1" s="180" t="s">
        <v>9</v>
      </c>
      <c r="X1" s="181" t="s">
        <v>10</v>
      </c>
      <c r="Y1" s="181" t="s">
        <v>37</v>
      </c>
      <c r="Z1" s="182" t="s">
        <v>91</v>
      </c>
      <c r="AA1" s="182" t="s">
        <v>141</v>
      </c>
      <c r="AB1" s="183" t="s">
        <v>144</v>
      </c>
      <c r="AC1" s="179" t="s">
        <v>118</v>
      </c>
      <c r="AD1" s="184" t="s">
        <v>178</v>
      </c>
      <c r="AE1" s="185" t="s">
        <v>180</v>
      </c>
    </row>
    <row r="2" spans="1:31" x14ac:dyDescent="0.3">
      <c r="A2" s="161">
        <v>1</v>
      </c>
      <c r="B2" s="46" t="s">
        <v>80</v>
      </c>
      <c r="C2" s="370">
        <f>SUM(A2:A3)</f>
        <v>2</v>
      </c>
      <c r="D2" s="63">
        <v>4</v>
      </c>
      <c r="E2" s="63">
        <v>5</v>
      </c>
      <c r="F2" s="63">
        <v>6</v>
      </c>
      <c r="G2" s="146">
        <f>D2+(E2*0.125)+(F2*0.0156)</f>
        <v>4.7186000000000003</v>
      </c>
      <c r="H2" s="278">
        <f t="shared" ref="H2:H35" si="0">244.7529*(D2+(E2*0.125)+(F2*0.0156))</f>
        <v>1154.8910339400002</v>
      </c>
      <c r="I2" s="366">
        <f>SUM(H2:H3)</f>
        <v>2279.1879553800004</v>
      </c>
      <c r="J2" s="369">
        <f>IF(I2="","",I2*$J$41)</f>
        <v>6039.8480817570007</v>
      </c>
      <c r="K2" s="64">
        <f t="shared" ref="K2:K35" si="1">H2/A2</f>
        <v>1154.8910339400002</v>
      </c>
      <c r="L2" s="65">
        <f t="shared" ref="L2:L35" si="2">K2*$L$41</f>
        <v>3060.4612399410003</v>
      </c>
      <c r="M2" s="62">
        <f>L2*2</f>
        <v>6120.9224798820005</v>
      </c>
      <c r="N2" s="56">
        <v>51</v>
      </c>
      <c r="O2" s="56"/>
      <c r="P2" s="60">
        <f>N2+(O2/20)</f>
        <v>51</v>
      </c>
      <c r="Q2" s="54">
        <v>52</v>
      </c>
      <c r="R2" s="54"/>
      <c r="S2" s="61">
        <f>Q2+(R2/20)</f>
        <v>52</v>
      </c>
      <c r="T2" s="35">
        <v>41</v>
      </c>
      <c r="U2" s="34" t="s">
        <v>78</v>
      </c>
      <c r="V2" s="34" t="str">
        <f t="shared" ref="V2:V35" si="3">CONCATENATE(B2," (",A2,")")</f>
        <v>Aiguière (1)</v>
      </c>
      <c r="W2" s="98">
        <v>245</v>
      </c>
      <c r="X2" s="99">
        <v>7</v>
      </c>
      <c r="Y2" s="99">
        <v>6</v>
      </c>
      <c r="Z2" s="116">
        <f>W2+(X2/20)+(Y2/20/12)</f>
        <v>245.375</v>
      </c>
      <c r="AA2" s="116">
        <f t="shared" ref="AA2:AA35" si="4">Z2/A2</f>
        <v>245.375</v>
      </c>
      <c r="AB2" s="73">
        <f t="shared" ref="AB2:AB35" si="5">H2*$J$41*2</f>
        <v>6120.9224798820005</v>
      </c>
      <c r="AC2" s="323"/>
      <c r="AD2" s="150">
        <f t="shared" ref="AD2:AD35" si="6">G2*S2</f>
        <v>245.36720000000003</v>
      </c>
      <c r="AE2" s="186">
        <f>IF(Z2=AD2,"✓",Z2-AD2)</f>
        <v>7.799999999974716E-3</v>
      </c>
    </row>
    <row r="3" spans="1:31" x14ac:dyDescent="0.3">
      <c r="A3" s="161">
        <v>1</v>
      </c>
      <c r="B3" s="46" t="s">
        <v>80</v>
      </c>
      <c r="C3" s="371"/>
      <c r="D3" s="63">
        <v>4</v>
      </c>
      <c r="E3" s="63">
        <v>4</v>
      </c>
      <c r="F3" s="63">
        <v>6</v>
      </c>
      <c r="G3" s="146">
        <f t="shared" ref="G3:G35" si="7">D3+(E3*0.125)+(F3*0.0156)</f>
        <v>4.5936000000000003</v>
      </c>
      <c r="H3" s="278">
        <f t="shared" si="0"/>
        <v>1124.2969214400002</v>
      </c>
      <c r="I3" s="368"/>
      <c r="J3" s="368"/>
      <c r="K3" s="64">
        <f t="shared" si="1"/>
        <v>1124.2969214400002</v>
      </c>
      <c r="L3" s="65">
        <f t="shared" si="2"/>
        <v>2979.3868418160005</v>
      </c>
      <c r="M3" s="62">
        <f t="shared" ref="M3:M35" si="8">L3*2</f>
        <v>5958.7736836320009</v>
      </c>
      <c r="N3" s="56">
        <v>51</v>
      </c>
      <c r="O3" s="56"/>
      <c r="P3" s="60">
        <f t="shared" ref="P3:P35" si="9">N3+(O3/20)</f>
        <v>51</v>
      </c>
      <c r="Q3" s="54">
        <v>53</v>
      </c>
      <c r="R3" s="54">
        <v>10</v>
      </c>
      <c r="S3" s="61">
        <f t="shared" ref="S3:S35" si="10">Q3+(R3/20)</f>
        <v>53.5</v>
      </c>
      <c r="T3" s="35">
        <v>20</v>
      </c>
      <c r="U3" s="34" t="s">
        <v>182</v>
      </c>
      <c r="V3" s="34" t="str">
        <f t="shared" si="3"/>
        <v>Aiguière (1)</v>
      </c>
      <c r="W3" s="98">
        <v>250</v>
      </c>
      <c r="X3" s="99">
        <v>16</v>
      </c>
      <c r="Y3" s="99">
        <v>9</v>
      </c>
      <c r="Z3" s="116">
        <f t="shared" ref="Z3:Z35" si="11">W3+(X3/20)+(Y3/20/12)</f>
        <v>250.83750000000001</v>
      </c>
      <c r="AA3" s="116">
        <f t="shared" si="4"/>
        <v>250.83750000000001</v>
      </c>
      <c r="AB3" s="73">
        <f t="shared" si="5"/>
        <v>5958.7736836320009</v>
      </c>
      <c r="AC3" s="323"/>
      <c r="AD3" s="150">
        <f t="shared" si="6"/>
        <v>245.75760000000002</v>
      </c>
      <c r="AE3" s="186">
        <f t="shared" ref="AE3:AE35" si="12">IF(Z3=AD3,"✓",Z3-AD3)</f>
        <v>5.0798999999999808</v>
      </c>
    </row>
    <row r="4" spans="1:31" x14ac:dyDescent="0.3">
      <c r="A4" s="161">
        <v>1</v>
      </c>
      <c r="B4" s="46" t="s">
        <v>61</v>
      </c>
      <c r="C4" s="45">
        <f>A4</f>
        <v>1</v>
      </c>
      <c r="D4" s="63">
        <v>1</v>
      </c>
      <c r="E4" s="63">
        <v>4</v>
      </c>
      <c r="F4" s="63"/>
      <c r="G4" s="146">
        <f t="shared" si="7"/>
        <v>1.5</v>
      </c>
      <c r="H4" s="278">
        <f t="shared" si="0"/>
        <v>367.12935000000004</v>
      </c>
      <c r="I4" s="47">
        <f>H4</f>
        <v>367.12935000000004</v>
      </c>
      <c r="J4" s="37">
        <f>IF(I4="","",I4*$J$41)</f>
        <v>972.89277750000008</v>
      </c>
      <c r="K4" s="64">
        <f t="shared" si="1"/>
        <v>367.12935000000004</v>
      </c>
      <c r="L4" s="65">
        <f t="shared" si="2"/>
        <v>972.89277750000008</v>
      </c>
      <c r="M4" s="62">
        <f t="shared" si="8"/>
        <v>1945.7855550000002</v>
      </c>
      <c r="N4" s="56">
        <v>51</v>
      </c>
      <c r="O4" s="56"/>
      <c r="P4" s="60">
        <f t="shared" si="9"/>
        <v>51</v>
      </c>
      <c r="Q4" s="54">
        <v>70</v>
      </c>
      <c r="R4" s="54"/>
      <c r="S4" s="61">
        <f t="shared" si="10"/>
        <v>70</v>
      </c>
      <c r="T4" s="35">
        <v>20</v>
      </c>
      <c r="U4" s="34" t="s">
        <v>62</v>
      </c>
      <c r="V4" s="34" t="str">
        <f t="shared" si="3"/>
        <v>Cafetière (1)</v>
      </c>
      <c r="W4" s="98">
        <v>105</v>
      </c>
      <c r="X4" s="99"/>
      <c r="Y4" s="99"/>
      <c r="Z4" s="116">
        <f t="shared" si="11"/>
        <v>105</v>
      </c>
      <c r="AA4" s="116">
        <f t="shared" si="4"/>
        <v>105</v>
      </c>
      <c r="AB4" s="73">
        <f t="shared" si="5"/>
        <v>1945.7855550000002</v>
      </c>
      <c r="AC4" s="323"/>
      <c r="AD4" s="150">
        <f t="shared" si="6"/>
        <v>105</v>
      </c>
      <c r="AE4" s="186" t="str">
        <f t="shared" si="12"/>
        <v>✓</v>
      </c>
    </row>
    <row r="5" spans="1:31" x14ac:dyDescent="0.3">
      <c r="A5" s="161">
        <v>1</v>
      </c>
      <c r="B5" s="46" t="s">
        <v>45</v>
      </c>
      <c r="C5" s="45">
        <f>A5</f>
        <v>1</v>
      </c>
      <c r="D5" s="63"/>
      <c r="E5" s="63">
        <v>3</v>
      </c>
      <c r="F5" s="63">
        <v>4</v>
      </c>
      <c r="G5" s="146">
        <f t="shared" si="7"/>
        <v>0.43740000000000001</v>
      </c>
      <c r="H5" s="278">
        <f t="shared" si="0"/>
        <v>107.05491846000001</v>
      </c>
      <c r="I5" s="47">
        <f>H5</f>
        <v>107.05491846000001</v>
      </c>
      <c r="J5" s="37">
        <f>IF(I5="","",I5*$J$41)</f>
        <v>283.69553391900001</v>
      </c>
      <c r="K5" s="64">
        <f t="shared" si="1"/>
        <v>107.05491846000001</v>
      </c>
      <c r="L5" s="65">
        <f t="shared" si="2"/>
        <v>283.69553391900001</v>
      </c>
      <c r="M5" s="62">
        <f t="shared" si="8"/>
        <v>567.39106783800003</v>
      </c>
      <c r="N5" s="56">
        <v>51</v>
      </c>
      <c r="O5" s="56"/>
      <c r="P5" s="60">
        <f t="shared" si="9"/>
        <v>51</v>
      </c>
      <c r="Q5" s="54">
        <v>52</v>
      </c>
      <c r="R5" s="54">
        <v>10</v>
      </c>
      <c r="S5" s="61">
        <f t="shared" si="10"/>
        <v>52.5</v>
      </c>
      <c r="T5" s="35">
        <v>11</v>
      </c>
      <c r="U5" s="34" t="s">
        <v>46</v>
      </c>
      <c r="V5" s="34" t="str">
        <f t="shared" si="3"/>
        <v>Coquetier (1)</v>
      </c>
      <c r="W5" s="98">
        <v>22</v>
      </c>
      <c r="X5" s="99">
        <v>19</v>
      </c>
      <c r="Y5" s="99">
        <v>4</v>
      </c>
      <c r="Z5" s="116">
        <f t="shared" si="11"/>
        <v>22.966666666666665</v>
      </c>
      <c r="AA5" s="116">
        <f t="shared" si="4"/>
        <v>22.966666666666665</v>
      </c>
      <c r="AB5" s="73">
        <f t="shared" si="5"/>
        <v>567.39106783800003</v>
      </c>
      <c r="AC5" s="323"/>
      <c r="AD5" s="150">
        <f t="shared" si="6"/>
        <v>22.9635</v>
      </c>
      <c r="AE5" s="186">
        <f t="shared" si="12"/>
        <v>3.1666666666652077E-3</v>
      </c>
    </row>
    <row r="6" spans="1:31" x14ac:dyDescent="0.3">
      <c r="A6" s="161">
        <v>4</v>
      </c>
      <c r="B6" s="46" t="s">
        <v>70</v>
      </c>
      <c r="C6" s="370">
        <f>SUM(A6:A7)</f>
        <v>10</v>
      </c>
      <c r="D6" s="63">
        <v>1</v>
      </c>
      <c r="E6" s="63">
        <v>7</v>
      </c>
      <c r="F6" s="63">
        <v>5</v>
      </c>
      <c r="G6" s="146">
        <f t="shared" si="7"/>
        <v>1.9530000000000001</v>
      </c>
      <c r="H6" s="278">
        <f t="shared" si="0"/>
        <v>478.00241370000003</v>
      </c>
      <c r="I6" s="366">
        <f>SUM(H6:H7)</f>
        <v>984.68986728000004</v>
      </c>
      <c r="J6" s="369">
        <f>IF(I6="","",I6*$J$41)</f>
        <v>2609.4281482920001</v>
      </c>
      <c r="K6" s="64">
        <f t="shared" si="1"/>
        <v>119.50060342500001</v>
      </c>
      <c r="L6" s="65">
        <f t="shared" si="2"/>
        <v>316.67659907625</v>
      </c>
      <c r="M6" s="62">
        <f t="shared" si="8"/>
        <v>633.3531981525</v>
      </c>
      <c r="N6" s="56"/>
      <c r="O6" s="56"/>
      <c r="P6" s="60"/>
      <c r="Q6" s="54"/>
      <c r="R6" s="54"/>
      <c r="S6" s="359">
        <f>Z6/G6</f>
        <v>18.561187916026626</v>
      </c>
      <c r="T6" s="35">
        <v>24</v>
      </c>
      <c r="U6" s="34" t="s">
        <v>75</v>
      </c>
      <c r="V6" s="34" t="str">
        <f t="shared" si="3"/>
        <v>Couteau (4)</v>
      </c>
      <c r="W6" s="98">
        <v>36</v>
      </c>
      <c r="X6" s="99">
        <v>5</v>
      </c>
      <c r="Y6" s="99"/>
      <c r="Z6" s="116">
        <f t="shared" si="11"/>
        <v>36.25</v>
      </c>
      <c r="AA6" s="116">
        <f t="shared" si="4"/>
        <v>9.0625</v>
      </c>
      <c r="AB6" s="73">
        <f t="shared" si="5"/>
        <v>2533.41279261</v>
      </c>
      <c r="AC6" s="358" t="s">
        <v>199</v>
      </c>
      <c r="AD6" s="150">
        <f>G6*S6</f>
        <v>36.25</v>
      </c>
      <c r="AE6" s="186" t="str">
        <f t="shared" si="12"/>
        <v>✓</v>
      </c>
    </row>
    <row r="7" spans="1:31" x14ac:dyDescent="0.3">
      <c r="A7" s="161">
        <v>6</v>
      </c>
      <c r="B7" s="46" t="s">
        <v>70</v>
      </c>
      <c r="C7" s="371"/>
      <c r="D7" s="63">
        <v>2</v>
      </c>
      <c r="E7" s="63"/>
      <c r="F7" s="63">
        <v>4.5</v>
      </c>
      <c r="G7" s="146">
        <f t="shared" si="7"/>
        <v>2.0701999999999998</v>
      </c>
      <c r="H7" s="278">
        <f t="shared" si="0"/>
        <v>506.68745357999995</v>
      </c>
      <c r="I7" s="368"/>
      <c r="J7" s="368"/>
      <c r="K7" s="64">
        <f t="shared" si="1"/>
        <v>84.447908929999997</v>
      </c>
      <c r="L7" s="65">
        <f t="shared" si="2"/>
        <v>223.78695866449999</v>
      </c>
      <c r="M7" s="62">
        <f t="shared" si="8"/>
        <v>447.57391732899998</v>
      </c>
      <c r="N7" s="56">
        <v>30</v>
      </c>
      <c r="O7" s="56"/>
      <c r="P7" s="60">
        <f t="shared" si="9"/>
        <v>30</v>
      </c>
      <c r="Q7" s="54">
        <v>36</v>
      </c>
      <c r="R7" s="54">
        <v>15</v>
      </c>
      <c r="S7" s="61">
        <f t="shared" si="10"/>
        <v>36.75</v>
      </c>
      <c r="T7" s="35">
        <v>24</v>
      </c>
      <c r="U7" s="34" t="s">
        <v>71</v>
      </c>
      <c r="V7" s="34" t="str">
        <f t="shared" si="3"/>
        <v>Couteau (6)</v>
      </c>
      <c r="W7" s="98">
        <v>76</v>
      </c>
      <c r="X7" s="99">
        <v>19</v>
      </c>
      <c r="Y7" s="99"/>
      <c r="Z7" s="116">
        <f t="shared" si="11"/>
        <v>76.95</v>
      </c>
      <c r="AA7" s="116">
        <f t="shared" si="4"/>
        <v>12.825000000000001</v>
      </c>
      <c r="AB7" s="73">
        <f t="shared" si="5"/>
        <v>2685.4435039739997</v>
      </c>
      <c r="AC7" s="323" t="s">
        <v>72</v>
      </c>
      <c r="AD7" s="150">
        <f t="shared" si="6"/>
        <v>76.079849999999993</v>
      </c>
      <c r="AE7" s="186">
        <f t="shared" si="12"/>
        <v>0.87015000000000953</v>
      </c>
    </row>
    <row r="8" spans="1:31" x14ac:dyDescent="0.3">
      <c r="A8" s="161">
        <v>12</v>
      </c>
      <c r="B8" s="46" t="s">
        <v>132</v>
      </c>
      <c r="C8" s="370">
        <f>SUM(A8:A12)</f>
        <v>52</v>
      </c>
      <c r="D8" s="63">
        <v>4</v>
      </c>
      <c r="E8" s="63">
        <v>1</v>
      </c>
      <c r="F8" s="63">
        <v>5</v>
      </c>
      <c r="G8" s="146">
        <f t="shared" si="7"/>
        <v>4.2030000000000003</v>
      </c>
      <c r="H8" s="278">
        <f t="shared" si="0"/>
        <v>1028.6964387</v>
      </c>
      <c r="I8" s="366">
        <f>SUM(H8:H12)</f>
        <v>3864.3545875200002</v>
      </c>
      <c r="J8" s="369">
        <f>I8*$J$41</f>
        <v>10240.539656928</v>
      </c>
      <c r="K8" s="64">
        <f t="shared" si="1"/>
        <v>85.724703224999999</v>
      </c>
      <c r="L8" s="65">
        <f t="shared" si="2"/>
        <v>227.17046354624998</v>
      </c>
      <c r="M8" s="62">
        <f t="shared" si="8"/>
        <v>454.34092709249995</v>
      </c>
      <c r="N8" s="56">
        <v>51</v>
      </c>
      <c r="O8" s="56">
        <v>10</v>
      </c>
      <c r="P8" s="60">
        <f t="shared" si="9"/>
        <v>51.5</v>
      </c>
      <c r="Q8" s="54">
        <v>61</v>
      </c>
      <c r="R8" s="54">
        <v>10</v>
      </c>
      <c r="S8" s="61">
        <f t="shared" si="10"/>
        <v>61.5</v>
      </c>
      <c r="T8" s="35">
        <v>18</v>
      </c>
      <c r="U8" s="34" t="s">
        <v>58</v>
      </c>
      <c r="V8" s="34" t="str">
        <f t="shared" si="3"/>
        <v>Cuiller Fourchette (6+6) (12)</v>
      </c>
      <c r="W8" s="98">
        <v>258</v>
      </c>
      <c r="X8" s="99">
        <v>9</v>
      </c>
      <c r="Y8" s="99">
        <v>6</v>
      </c>
      <c r="Z8" s="116">
        <f t="shared" si="11"/>
        <v>258.47499999999997</v>
      </c>
      <c r="AA8" s="116">
        <f t="shared" si="4"/>
        <v>21.539583333333329</v>
      </c>
      <c r="AB8" s="73">
        <f t="shared" si="5"/>
        <v>5452.0911251099997</v>
      </c>
      <c r="AC8" s="323"/>
      <c r="AD8" s="150">
        <f t="shared" si="6"/>
        <v>258.48450000000003</v>
      </c>
      <c r="AE8" s="186">
        <f t="shared" si="12"/>
        <v>-9.5000000000595719E-3</v>
      </c>
    </row>
    <row r="9" spans="1:31" x14ac:dyDescent="0.3">
      <c r="A9" s="161">
        <v>4</v>
      </c>
      <c r="B9" s="46" t="s">
        <v>133</v>
      </c>
      <c r="C9" s="372"/>
      <c r="D9" s="63">
        <v>1</v>
      </c>
      <c r="E9" s="63">
        <v>3</v>
      </c>
      <c r="F9" s="63"/>
      <c r="G9" s="146">
        <f t="shared" si="7"/>
        <v>1.375</v>
      </c>
      <c r="H9" s="278">
        <f t="shared" si="0"/>
        <v>336.53523749999999</v>
      </c>
      <c r="I9" s="367"/>
      <c r="J9" s="367"/>
      <c r="K9" s="64">
        <f t="shared" si="1"/>
        <v>84.133809374999998</v>
      </c>
      <c r="L9" s="65">
        <f t="shared" si="2"/>
        <v>222.95459484374999</v>
      </c>
      <c r="M9" s="62">
        <f t="shared" si="8"/>
        <v>445.90918968749997</v>
      </c>
      <c r="N9" s="56">
        <v>51</v>
      </c>
      <c r="O9" s="56"/>
      <c r="P9" s="60">
        <f t="shared" si="9"/>
        <v>51</v>
      </c>
      <c r="Q9" s="54">
        <v>66</v>
      </c>
      <c r="R9" s="54">
        <v>5</v>
      </c>
      <c r="S9" s="61">
        <f t="shared" si="10"/>
        <v>66.25</v>
      </c>
      <c r="T9" s="35">
        <v>24</v>
      </c>
      <c r="U9" s="34" t="s">
        <v>68</v>
      </c>
      <c r="V9" s="34" t="str">
        <f t="shared" si="3"/>
        <v>Cuiller Fourchette (2+2) (4)</v>
      </c>
      <c r="W9" s="98">
        <v>91</v>
      </c>
      <c r="X9" s="99"/>
      <c r="Y9" s="99"/>
      <c r="Z9" s="116">
        <f t="shared" si="11"/>
        <v>91</v>
      </c>
      <c r="AA9" s="116">
        <f t="shared" si="4"/>
        <v>22.75</v>
      </c>
      <c r="AB9" s="73">
        <f t="shared" si="5"/>
        <v>1783.6367587499999</v>
      </c>
      <c r="AC9" s="323" t="s">
        <v>200</v>
      </c>
      <c r="AD9" s="150">
        <f t="shared" si="6"/>
        <v>91.09375</v>
      </c>
      <c r="AE9" s="186">
        <f t="shared" si="12"/>
        <v>-9.375E-2</v>
      </c>
    </row>
    <row r="10" spans="1:31" x14ac:dyDescent="0.3">
      <c r="A10" s="161">
        <v>12</v>
      </c>
      <c r="B10" s="46" t="s">
        <v>132</v>
      </c>
      <c r="C10" s="372"/>
      <c r="D10" s="63">
        <v>4</v>
      </c>
      <c r="E10" s="63"/>
      <c r="F10" s="63">
        <v>1</v>
      </c>
      <c r="G10" s="146">
        <f t="shared" si="7"/>
        <v>4.0156000000000001</v>
      </c>
      <c r="H10" s="278">
        <f t="shared" si="0"/>
        <v>982.82974524000008</v>
      </c>
      <c r="I10" s="367"/>
      <c r="J10" s="367"/>
      <c r="K10" s="64">
        <f t="shared" si="1"/>
        <v>81.902478770000002</v>
      </c>
      <c r="L10" s="65">
        <f t="shared" si="2"/>
        <v>217.0415687405</v>
      </c>
      <c r="M10" s="62">
        <f t="shared" si="8"/>
        <v>434.08313748099999</v>
      </c>
      <c r="N10" s="56">
        <v>51</v>
      </c>
      <c r="O10" s="56"/>
      <c r="P10" s="60">
        <f t="shared" si="9"/>
        <v>51</v>
      </c>
      <c r="Q10" s="54">
        <v>66</v>
      </c>
      <c r="R10" s="54"/>
      <c r="S10" s="61">
        <f t="shared" si="10"/>
        <v>66</v>
      </c>
      <c r="T10" s="35">
        <v>23</v>
      </c>
      <c r="U10" s="34" t="s">
        <v>67</v>
      </c>
      <c r="V10" s="34" t="str">
        <f t="shared" si="3"/>
        <v>Cuiller Fourchette (6+6) (12)</v>
      </c>
      <c r="W10" s="98">
        <v>265</v>
      </c>
      <c r="X10" s="99"/>
      <c r="Y10" s="99"/>
      <c r="Z10" s="116">
        <f t="shared" si="11"/>
        <v>265</v>
      </c>
      <c r="AA10" s="116">
        <f t="shared" si="4"/>
        <v>22.083333333333332</v>
      </c>
      <c r="AB10" s="73">
        <f t="shared" si="5"/>
        <v>5208.9976497719999</v>
      </c>
      <c r="AC10" s="323"/>
      <c r="AD10" s="150">
        <f t="shared" si="6"/>
        <v>265.02960000000002</v>
      </c>
      <c r="AE10" s="186">
        <f t="shared" si="12"/>
        <v>-2.960000000001628E-2</v>
      </c>
    </row>
    <row r="11" spans="1:31" x14ac:dyDescent="0.3">
      <c r="A11" s="161">
        <v>12</v>
      </c>
      <c r="B11" s="46" t="s">
        <v>132</v>
      </c>
      <c r="C11" s="372"/>
      <c r="D11" s="63">
        <v>4</v>
      </c>
      <c r="E11" s="63"/>
      <c r="F11" s="63">
        <v>0.5</v>
      </c>
      <c r="G11" s="146">
        <f t="shared" si="7"/>
        <v>4.0077999999999996</v>
      </c>
      <c r="H11" s="278">
        <f t="shared" si="0"/>
        <v>980.92067261999989</v>
      </c>
      <c r="I11" s="367"/>
      <c r="J11" s="367"/>
      <c r="K11" s="64">
        <f t="shared" si="1"/>
        <v>81.743389384999986</v>
      </c>
      <c r="L11" s="65">
        <f t="shared" si="2"/>
        <v>216.61998187024994</v>
      </c>
      <c r="M11" s="62">
        <f t="shared" si="8"/>
        <v>433.23996374049989</v>
      </c>
      <c r="N11" s="56">
        <v>51</v>
      </c>
      <c r="O11" s="56"/>
      <c r="P11" s="60">
        <f t="shared" si="9"/>
        <v>51</v>
      </c>
      <c r="Q11" s="54">
        <v>61</v>
      </c>
      <c r="R11" s="54"/>
      <c r="S11" s="61">
        <f t="shared" si="10"/>
        <v>61</v>
      </c>
      <c r="T11" s="35">
        <v>17</v>
      </c>
      <c r="U11" s="34" t="s">
        <v>57</v>
      </c>
      <c r="V11" s="34" t="str">
        <f t="shared" si="3"/>
        <v>Cuiller Fourchette (6+6) (12)</v>
      </c>
      <c r="W11" s="98">
        <v>244</v>
      </c>
      <c r="X11" s="99">
        <v>9</v>
      </c>
      <c r="Y11" s="99">
        <v>6</v>
      </c>
      <c r="Z11" s="116">
        <f t="shared" si="11"/>
        <v>244.47499999999999</v>
      </c>
      <c r="AA11" s="116">
        <f t="shared" si="4"/>
        <v>20.372916666666665</v>
      </c>
      <c r="AB11" s="73">
        <f t="shared" si="5"/>
        <v>5198.8795648859996</v>
      </c>
      <c r="AC11" s="323"/>
      <c r="AD11" s="150">
        <f t="shared" si="6"/>
        <v>244.47579999999996</v>
      </c>
      <c r="AE11" s="186">
        <f t="shared" si="12"/>
        <v>-7.9999999996971383E-4</v>
      </c>
    </row>
    <row r="12" spans="1:31" x14ac:dyDescent="0.3">
      <c r="A12" s="161">
        <v>12</v>
      </c>
      <c r="B12" s="46" t="s">
        <v>132</v>
      </c>
      <c r="C12" s="371"/>
      <c r="D12" s="63">
        <v>2</v>
      </c>
      <c r="E12" s="63">
        <v>1</v>
      </c>
      <c r="F12" s="63">
        <v>4</v>
      </c>
      <c r="G12" s="146">
        <f t="shared" si="7"/>
        <v>2.1873999999999998</v>
      </c>
      <c r="H12" s="278">
        <f t="shared" si="0"/>
        <v>535.37249345999999</v>
      </c>
      <c r="I12" s="368"/>
      <c r="J12" s="368"/>
      <c r="K12" s="64">
        <f t="shared" si="1"/>
        <v>44.614374454999997</v>
      </c>
      <c r="L12" s="65">
        <f t="shared" si="2"/>
        <v>118.22809230574998</v>
      </c>
      <c r="M12" s="62">
        <f t="shared" si="8"/>
        <v>236.45618461149996</v>
      </c>
      <c r="N12" s="56">
        <v>45</v>
      </c>
      <c r="O12" s="56"/>
      <c r="P12" s="60">
        <f t="shared" si="9"/>
        <v>45</v>
      </c>
      <c r="Q12" s="54">
        <v>49</v>
      </c>
      <c r="R12" s="54">
        <v>15</v>
      </c>
      <c r="S12" s="61">
        <f t="shared" si="10"/>
        <v>49.75</v>
      </c>
      <c r="T12" s="35">
        <v>24</v>
      </c>
      <c r="U12" s="34" t="s">
        <v>46</v>
      </c>
      <c r="V12" s="34" t="str">
        <f t="shared" si="3"/>
        <v>Cuiller Fourchette (6+6) (12)</v>
      </c>
      <c r="W12" s="98">
        <v>108</v>
      </c>
      <c r="X12" s="99">
        <v>16</v>
      </c>
      <c r="Y12" s="99">
        <v>7</v>
      </c>
      <c r="Z12" s="116">
        <f t="shared" si="11"/>
        <v>108.82916666666667</v>
      </c>
      <c r="AA12" s="116">
        <f t="shared" si="4"/>
        <v>9.0690972222222221</v>
      </c>
      <c r="AB12" s="73">
        <f t="shared" si="5"/>
        <v>2837.4742153379998</v>
      </c>
      <c r="AC12" s="323" t="s">
        <v>69</v>
      </c>
      <c r="AD12" s="150">
        <f t="shared" si="6"/>
        <v>108.82314999999998</v>
      </c>
      <c r="AE12" s="186">
        <f t="shared" si="12"/>
        <v>6.0166666666816582E-3</v>
      </c>
    </row>
    <row r="13" spans="1:31" x14ac:dyDescent="0.3">
      <c r="A13" s="161">
        <v>3</v>
      </c>
      <c r="B13" s="46" t="s">
        <v>73</v>
      </c>
      <c r="C13" s="45">
        <f>A13</f>
        <v>3</v>
      </c>
      <c r="D13" s="63">
        <v>1</v>
      </c>
      <c r="E13" s="63"/>
      <c r="F13" s="63">
        <v>4.5</v>
      </c>
      <c r="G13" s="146">
        <f t="shared" si="7"/>
        <v>1.0702</v>
      </c>
      <c r="H13" s="278">
        <f t="shared" si="0"/>
        <v>261.93455358</v>
      </c>
      <c r="I13" s="47">
        <f>H13</f>
        <v>261.93455358</v>
      </c>
      <c r="J13" s="37">
        <f t="shared" ref="J13:J18" si="13">IF(I13="","",I13*$J$41)</f>
        <v>694.12656698699993</v>
      </c>
      <c r="K13" s="64">
        <f t="shared" si="1"/>
        <v>87.311517859999995</v>
      </c>
      <c r="L13" s="65">
        <f t="shared" si="2"/>
        <v>231.37552232899998</v>
      </c>
      <c r="M13" s="62">
        <f t="shared" si="8"/>
        <v>462.75104465799996</v>
      </c>
      <c r="N13" s="56">
        <v>51</v>
      </c>
      <c r="O13" s="56"/>
      <c r="P13" s="60">
        <f t="shared" si="9"/>
        <v>51</v>
      </c>
      <c r="Q13" s="54">
        <v>52</v>
      </c>
      <c r="R13" s="54">
        <v>10</v>
      </c>
      <c r="S13" s="61">
        <f t="shared" si="10"/>
        <v>52.5</v>
      </c>
      <c r="T13" s="35">
        <v>24</v>
      </c>
      <c r="U13" s="34" t="s">
        <v>74</v>
      </c>
      <c r="V13" s="34" t="str">
        <f t="shared" si="3"/>
        <v>Cuiller (3)</v>
      </c>
      <c r="W13" s="98">
        <v>55</v>
      </c>
      <c r="X13" s="99">
        <v>14</v>
      </c>
      <c r="Y13" s="99"/>
      <c r="Z13" s="116">
        <f t="shared" si="11"/>
        <v>55.7</v>
      </c>
      <c r="AA13" s="116">
        <f t="shared" si="4"/>
        <v>18.566666666666666</v>
      </c>
      <c r="AB13" s="73">
        <f t="shared" si="5"/>
        <v>1388.2531339739999</v>
      </c>
      <c r="AC13" s="323"/>
      <c r="AD13" s="150">
        <f t="shared" si="6"/>
        <v>56.185500000000005</v>
      </c>
      <c r="AE13" s="186">
        <f t="shared" si="12"/>
        <v>-0.48550000000000182</v>
      </c>
    </row>
    <row r="14" spans="1:31" x14ac:dyDescent="0.3">
      <c r="A14" s="161">
        <v>2</v>
      </c>
      <c r="B14" s="46" t="s">
        <v>64</v>
      </c>
      <c r="C14" s="45">
        <f t="shared" ref="C14:C17" si="14">A14</f>
        <v>2</v>
      </c>
      <c r="D14" s="63"/>
      <c r="E14" s="63">
        <v>6</v>
      </c>
      <c r="F14" s="63">
        <v>5</v>
      </c>
      <c r="G14" s="146">
        <f t="shared" si="7"/>
        <v>0.82799999999999996</v>
      </c>
      <c r="H14" s="278">
        <f t="shared" si="0"/>
        <v>202.6554012</v>
      </c>
      <c r="I14" s="47">
        <f t="shared" ref="I14:I17" si="15">H14</f>
        <v>202.6554012</v>
      </c>
      <c r="J14" s="37">
        <f t="shared" si="13"/>
        <v>537.03681317999997</v>
      </c>
      <c r="K14" s="64">
        <f t="shared" si="1"/>
        <v>101.3277006</v>
      </c>
      <c r="L14" s="65">
        <f t="shared" si="2"/>
        <v>268.51840658999998</v>
      </c>
      <c r="M14" s="62">
        <f t="shared" si="8"/>
        <v>537.03681317999997</v>
      </c>
      <c r="N14" s="56">
        <v>51</v>
      </c>
      <c r="O14" s="56"/>
      <c r="P14" s="60">
        <f t="shared" si="9"/>
        <v>51</v>
      </c>
      <c r="Q14" s="54">
        <v>70</v>
      </c>
      <c r="R14" s="54"/>
      <c r="S14" s="61">
        <f t="shared" si="10"/>
        <v>70</v>
      </c>
      <c r="T14" s="35">
        <v>20</v>
      </c>
      <c r="U14" s="34" t="s">
        <v>62</v>
      </c>
      <c r="V14" s="34" t="str">
        <f t="shared" si="3"/>
        <v>Cuiller à olives (2)</v>
      </c>
      <c r="W14" s="98">
        <v>57</v>
      </c>
      <c r="X14" s="99">
        <v>19</v>
      </c>
      <c r="Y14" s="99">
        <v>4</v>
      </c>
      <c r="Z14" s="116">
        <f t="shared" si="11"/>
        <v>57.966666666666669</v>
      </c>
      <c r="AA14" s="116">
        <f t="shared" si="4"/>
        <v>28.983333333333334</v>
      </c>
      <c r="AB14" s="73">
        <f t="shared" si="5"/>
        <v>1074.0736263599999</v>
      </c>
      <c r="AC14" s="323"/>
      <c r="AD14" s="150">
        <f t="shared" si="6"/>
        <v>57.959999999999994</v>
      </c>
      <c r="AE14" s="186">
        <f t="shared" si="12"/>
        <v>6.6666666666748142E-3</v>
      </c>
    </row>
    <row r="15" spans="1:31" x14ac:dyDescent="0.3">
      <c r="A15" s="161">
        <v>1</v>
      </c>
      <c r="B15" s="46" t="s">
        <v>63</v>
      </c>
      <c r="C15" s="45">
        <f t="shared" si="14"/>
        <v>1</v>
      </c>
      <c r="D15" s="63">
        <v>1</v>
      </c>
      <c r="E15" s="63">
        <v>3</v>
      </c>
      <c r="F15" s="63"/>
      <c r="G15" s="146">
        <f t="shared" si="7"/>
        <v>1.375</v>
      </c>
      <c r="H15" s="278">
        <f t="shared" si="0"/>
        <v>336.53523749999999</v>
      </c>
      <c r="I15" s="47">
        <f t="shared" si="15"/>
        <v>336.53523749999999</v>
      </c>
      <c r="J15" s="37">
        <f t="shared" si="13"/>
        <v>891.81837937499995</v>
      </c>
      <c r="K15" s="64">
        <f t="shared" si="1"/>
        <v>336.53523749999999</v>
      </c>
      <c r="L15" s="65">
        <f t="shared" si="2"/>
        <v>891.81837937499995</v>
      </c>
      <c r="M15" s="62">
        <f t="shared" si="8"/>
        <v>1783.6367587499999</v>
      </c>
      <c r="N15" s="56">
        <v>51</v>
      </c>
      <c r="O15" s="56"/>
      <c r="P15" s="60">
        <f t="shared" si="9"/>
        <v>51</v>
      </c>
      <c r="Q15" s="54">
        <v>53</v>
      </c>
      <c r="R15" s="54">
        <v>10</v>
      </c>
      <c r="S15" s="61">
        <f t="shared" si="10"/>
        <v>53.5</v>
      </c>
      <c r="T15" s="35">
        <v>20</v>
      </c>
      <c r="U15" s="34" t="s">
        <v>60</v>
      </c>
      <c r="V15" s="34" t="str">
        <f t="shared" si="3"/>
        <v>Cuiller à pot (1)</v>
      </c>
      <c r="W15" s="98">
        <v>73</v>
      </c>
      <c r="X15" s="99">
        <v>11</v>
      </c>
      <c r="Y15" s="99">
        <v>3</v>
      </c>
      <c r="Z15" s="116">
        <f t="shared" si="11"/>
        <v>73.5625</v>
      </c>
      <c r="AA15" s="116">
        <f t="shared" si="4"/>
        <v>73.5625</v>
      </c>
      <c r="AB15" s="73">
        <f t="shared" si="5"/>
        <v>1783.6367587499999</v>
      </c>
      <c r="AC15" s="323"/>
      <c r="AD15" s="150">
        <f t="shared" si="6"/>
        <v>73.5625</v>
      </c>
      <c r="AE15" s="186" t="str">
        <f t="shared" si="12"/>
        <v>✓</v>
      </c>
    </row>
    <row r="16" spans="1:31" x14ac:dyDescent="0.3">
      <c r="A16" s="161">
        <v>1</v>
      </c>
      <c r="B16" s="46" t="s">
        <v>54</v>
      </c>
      <c r="C16" s="45">
        <f t="shared" si="14"/>
        <v>1</v>
      </c>
      <c r="D16" s="63">
        <v>1</v>
      </c>
      <c r="E16" s="63">
        <v>1</v>
      </c>
      <c r="F16" s="63">
        <v>2</v>
      </c>
      <c r="G16" s="146">
        <f t="shared" si="7"/>
        <v>1.1561999999999999</v>
      </c>
      <c r="H16" s="278">
        <f t="shared" si="0"/>
        <v>282.98330297999996</v>
      </c>
      <c r="I16" s="47">
        <f t="shared" si="15"/>
        <v>282.98330297999996</v>
      </c>
      <c r="J16" s="37">
        <f t="shared" si="13"/>
        <v>749.90575289699984</v>
      </c>
      <c r="K16" s="64">
        <f t="shared" si="1"/>
        <v>282.98330297999996</v>
      </c>
      <c r="L16" s="65">
        <f t="shared" si="2"/>
        <v>749.90575289699984</v>
      </c>
      <c r="M16" s="62">
        <f t="shared" si="8"/>
        <v>1499.8115057939997</v>
      </c>
      <c r="N16" s="56">
        <v>51</v>
      </c>
      <c r="O16" s="56"/>
      <c r="P16" s="60">
        <f t="shared" si="9"/>
        <v>51</v>
      </c>
      <c r="Q16" s="54">
        <v>58</v>
      </c>
      <c r="R16" s="54">
        <v>10</v>
      </c>
      <c r="S16" s="61">
        <f t="shared" si="10"/>
        <v>58.5</v>
      </c>
      <c r="T16" s="35">
        <v>17</v>
      </c>
      <c r="U16" s="34" t="s">
        <v>55</v>
      </c>
      <c r="V16" s="34" t="str">
        <f t="shared" si="3"/>
        <v>Cuiller à potage (1)</v>
      </c>
      <c r="W16" s="98">
        <v>67</v>
      </c>
      <c r="X16" s="99">
        <v>15</v>
      </c>
      <c r="Y16" s="99"/>
      <c r="Z16" s="116">
        <f t="shared" si="11"/>
        <v>67.75</v>
      </c>
      <c r="AA16" s="116">
        <f t="shared" si="4"/>
        <v>67.75</v>
      </c>
      <c r="AB16" s="73">
        <f t="shared" si="5"/>
        <v>1499.8115057939997</v>
      </c>
      <c r="AC16" s="323"/>
      <c r="AD16" s="150">
        <f t="shared" si="6"/>
        <v>67.637699999999995</v>
      </c>
      <c r="AE16" s="186">
        <f t="shared" si="12"/>
        <v>0.11230000000000473</v>
      </c>
    </row>
    <row r="17" spans="1:31" x14ac:dyDescent="0.3">
      <c r="A17" s="161">
        <v>2</v>
      </c>
      <c r="B17" s="46" t="s">
        <v>56</v>
      </c>
      <c r="C17" s="45">
        <f t="shared" si="14"/>
        <v>2</v>
      </c>
      <c r="D17" s="63">
        <v>1</v>
      </c>
      <c r="E17" s="63">
        <v>2</v>
      </c>
      <c r="F17" s="63">
        <v>4</v>
      </c>
      <c r="G17" s="146">
        <f t="shared" si="7"/>
        <v>1.3124</v>
      </c>
      <c r="H17" s="278">
        <f t="shared" si="0"/>
        <v>321.21370596000003</v>
      </c>
      <c r="I17" s="47">
        <f t="shared" si="15"/>
        <v>321.21370596000003</v>
      </c>
      <c r="J17" s="37">
        <f t="shared" si="13"/>
        <v>851.21632079400001</v>
      </c>
      <c r="K17" s="64">
        <f t="shared" si="1"/>
        <v>160.60685298000001</v>
      </c>
      <c r="L17" s="65">
        <f t="shared" si="2"/>
        <v>425.60816039700001</v>
      </c>
      <c r="M17" s="62">
        <f t="shared" si="8"/>
        <v>851.21632079400001</v>
      </c>
      <c r="N17" s="56">
        <v>51</v>
      </c>
      <c r="O17" s="56"/>
      <c r="P17" s="60">
        <f t="shared" si="9"/>
        <v>51</v>
      </c>
      <c r="Q17" s="54">
        <v>56</v>
      </c>
      <c r="R17" s="54"/>
      <c r="S17" s="61">
        <f t="shared" si="10"/>
        <v>56</v>
      </c>
      <c r="T17" s="35">
        <v>17</v>
      </c>
      <c r="U17" s="34" t="s">
        <v>38</v>
      </c>
      <c r="V17" s="34" t="str">
        <f t="shared" si="3"/>
        <v>Cuiller à ragoût (2)</v>
      </c>
      <c r="W17" s="98">
        <v>73</v>
      </c>
      <c r="X17" s="99">
        <v>10</v>
      </c>
      <c r="Y17" s="99"/>
      <c r="Z17" s="116">
        <f t="shared" si="11"/>
        <v>73.5</v>
      </c>
      <c r="AA17" s="116">
        <f t="shared" si="4"/>
        <v>36.75</v>
      </c>
      <c r="AB17" s="73">
        <f t="shared" si="5"/>
        <v>1702.432641588</v>
      </c>
      <c r="AC17" s="323"/>
      <c r="AD17" s="150">
        <f t="shared" si="6"/>
        <v>73.494399999999999</v>
      </c>
      <c r="AE17" s="186">
        <f t="shared" si="12"/>
        <v>5.6000000000011596E-3</v>
      </c>
    </row>
    <row r="18" spans="1:31" x14ac:dyDescent="0.3">
      <c r="A18" s="161">
        <v>2</v>
      </c>
      <c r="B18" s="46" t="s">
        <v>50</v>
      </c>
      <c r="C18" s="67"/>
      <c r="D18" s="63">
        <v>7</v>
      </c>
      <c r="E18" s="63">
        <v>2</v>
      </c>
      <c r="F18" s="63">
        <v>5</v>
      </c>
      <c r="G18" s="146">
        <f t="shared" si="7"/>
        <v>7.3280000000000003</v>
      </c>
      <c r="H18" s="278">
        <f t="shared" si="0"/>
        <v>1793.5492512000001</v>
      </c>
      <c r="I18" s="366">
        <f>SUM(H18:H19)</f>
        <v>3032.58633216</v>
      </c>
      <c r="J18" s="369">
        <f t="shared" si="13"/>
        <v>8036.3537802239998</v>
      </c>
      <c r="K18" s="64">
        <f t="shared" si="1"/>
        <v>896.77462560000004</v>
      </c>
      <c r="L18" s="65">
        <f t="shared" si="2"/>
        <v>2376.4527578400002</v>
      </c>
      <c r="M18" s="62">
        <f t="shared" si="8"/>
        <v>4752.9055156800005</v>
      </c>
      <c r="N18" s="56">
        <v>51</v>
      </c>
      <c r="O18" s="56"/>
      <c r="P18" s="60">
        <f t="shared" si="9"/>
        <v>51</v>
      </c>
      <c r="Q18" s="54">
        <v>52</v>
      </c>
      <c r="R18" s="54"/>
      <c r="S18" s="61">
        <f t="shared" si="10"/>
        <v>52</v>
      </c>
      <c r="T18" s="35">
        <v>10</v>
      </c>
      <c r="U18" s="34" t="s">
        <v>43</v>
      </c>
      <c r="V18" s="34" t="str">
        <f t="shared" si="3"/>
        <v>Flambeau (2)</v>
      </c>
      <c r="W18" s="98">
        <v>377</v>
      </c>
      <c r="X18" s="99"/>
      <c r="Y18" s="99"/>
      <c r="Z18" s="116">
        <f t="shared" si="11"/>
        <v>377</v>
      </c>
      <c r="AA18" s="116">
        <f t="shared" si="4"/>
        <v>188.5</v>
      </c>
      <c r="AB18" s="73">
        <f t="shared" si="5"/>
        <v>9505.8110313600009</v>
      </c>
      <c r="AC18" s="323"/>
      <c r="AD18" s="150">
        <f t="shared" si="6"/>
        <v>381.05600000000004</v>
      </c>
      <c r="AE18" s="186">
        <f t="shared" si="12"/>
        <v>-4.05600000000004</v>
      </c>
    </row>
    <row r="19" spans="1:31" x14ac:dyDescent="0.3">
      <c r="A19" s="161">
        <v>2</v>
      </c>
      <c r="B19" s="46" t="s">
        <v>50</v>
      </c>
      <c r="C19" s="68">
        <f>SUM(A18:A19)</f>
        <v>4</v>
      </c>
      <c r="D19" s="63">
        <v>5</v>
      </c>
      <c r="E19" s="63"/>
      <c r="F19" s="63">
        <v>4</v>
      </c>
      <c r="G19" s="146">
        <f t="shared" si="7"/>
        <v>5.0624000000000002</v>
      </c>
      <c r="H19" s="278">
        <f t="shared" si="0"/>
        <v>1239.0370809600001</v>
      </c>
      <c r="I19" s="368"/>
      <c r="J19" s="368"/>
      <c r="K19" s="64">
        <f t="shared" si="1"/>
        <v>619.51854048000007</v>
      </c>
      <c r="L19" s="65">
        <f t="shared" si="2"/>
        <v>1641.7241322720001</v>
      </c>
      <c r="M19" s="62">
        <f t="shared" si="8"/>
        <v>3283.4482645440003</v>
      </c>
      <c r="N19" s="56">
        <v>51</v>
      </c>
      <c r="O19" s="56"/>
      <c r="P19" s="60">
        <f t="shared" si="9"/>
        <v>51</v>
      </c>
      <c r="Q19" s="54">
        <v>68</v>
      </c>
      <c r="R19" s="54"/>
      <c r="S19" s="61">
        <f t="shared" si="10"/>
        <v>68</v>
      </c>
      <c r="T19" s="35">
        <v>19</v>
      </c>
      <c r="U19" s="34" t="s">
        <v>46</v>
      </c>
      <c r="V19" s="34" t="str">
        <f t="shared" si="3"/>
        <v>Flambeau (2)</v>
      </c>
      <c r="W19" s="98">
        <v>344</v>
      </c>
      <c r="X19" s="99">
        <v>5</v>
      </c>
      <c r="Y19" s="99"/>
      <c r="Z19" s="116">
        <f t="shared" si="11"/>
        <v>344.25</v>
      </c>
      <c r="AA19" s="116">
        <f t="shared" si="4"/>
        <v>172.125</v>
      </c>
      <c r="AB19" s="73">
        <f t="shared" si="5"/>
        <v>6566.8965290880005</v>
      </c>
      <c r="AC19" s="323"/>
      <c r="AD19" s="150">
        <f t="shared" si="6"/>
        <v>344.2432</v>
      </c>
      <c r="AE19" s="186">
        <f t="shared" si="12"/>
        <v>6.7999999999983629E-3</v>
      </c>
    </row>
    <row r="20" spans="1:31" x14ac:dyDescent="0.3">
      <c r="A20" s="161">
        <v>1</v>
      </c>
      <c r="B20" s="46" t="s">
        <v>40</v>
      </c>
      <c r="C20" s="45">
        <f t="shared" ref="C20:C21" si="16">A20</f>
        <v>1</v>
      </c>
      <c r="D20" s="63">
        <v>3</v>
      </c>
      <c r="E20" s="63">
        <v>5</v>
      </c>
      <c r="F20" s="63"/>
      <c r="G20" s="146">
        <f t="shared" si="7"/>
        <v>3.625</v>
      </c>
      <c r="H20" s="278">
        <f t="shared" si="0"/>
        <v>887.2292625</v>
      </c>
      <c r="I20" s="47">
        <f t="shared" ref="I20:I21" si="17">H20</f>
        <v>887.2292625</v>
      </c>
      <c r="J20" s="37">
        <f>IF(I20="","",I20*$J$41)</f>
        <v>2351.1575456249998</v>
      </c>
      <c r="K20" s="64">
        <f t="shared" si="1"/>
        <v>887.2292625</v>
      </c>
      <c r="L20" s="65">
        <f t="shared" si="2"/>
        <v>2351.1575456249998</v>
      </c>
      <c r="M20" s="62">
        <f t="shared" si="8"/>
        <v>4702.3150912499996</v>
      </c>
      <c r="N20" s="56">
        <v>51</v>
      </c>
      <c r="O20" s="56"/>
      <c r="P20" s="60">
        <f t="shared" si="9"/>
        <v>51</v>
      </c>
      <c r="Q20" s="54">
        <v>55</v>
      </c>
      <c r="R20" s="54"/>
      <c r="S20" s="61">
        <f t="shared" si="10"/>
        <v>55</v>
      </c>
      <c r="T20" s="35">
        <v>5</v>
      </c>
      <c r="U20" s="34" t="s">
        <v>42</v>
      </c>
      <c r="V20" s="34" t="str">
        <f t="shared" si="3"/>
        <v>Huilier (1)</v>
      </c>
      <c r="W20" s="98">
        <v>199</v>
      </c>
      <c r="X20" s="99">
        <v>7</v>
      </c>
      <c r="Y20" s="99"/>
      <c r="Z20" s="116">
        <f t="shared" si="11"/>
        <v>199.35</v>
      </c>
      <c r="AA20" s="116">
        <f t="shared" si="4"/>
        <v>199.35</v>
      </c>
      <c r="AB20" s="73">
        <f t="shared" si="5"/>
        <v>4702.3150912499996</v>
      </c>
      <c r="AC20" s="323"/>
      <c r="AD20" s="150">
        <f t="shared" si="6"/>
        <v>199.375</v>
      </c>
      <c r="AE20" s="186">
        <f t="shared" si="12"/>
        <v>-2.5000000000005684E-2</v>
      </c>
    </row>
    <row r="21" spans="1:31" x14ac:dyDescent="0.3">
      <c r="A21" s="161">
        <v>1</v>
      </c>
      <c r="B21" s="46" t="s">
        <v>94</v>
      </c>
      <c r="C21" s="45">
        <f t="shared" si="16"/>
        <v>1</v>
      </c>
      <c r="D21" s="63">
        <v>2</v>
      </c>
      <c r="E21" s="63">
        <v>3</v>
      </c>
      <c r="F21" s="63">
        <v>9</v>
      </c>
      <c r="G21" s="146">
        <f t="shared" si="7"/>
        <v>2.5154000000000001</v>
      </c>
      <c r="H21" s="278">
        <f t="shared" si="0"/>
        <v>615.65144466000004</v>
      </c>
      <c r="I21" s="47">
        <f t="shared" si="17"/>
        <v>615.65144466000004</v>
      </c>
      <c r="J21" s="37">
        <f>IF(I21="","",I21*$J$41)</f>
        <v>1631.4763283490001</v>
      </c>
      <c r="K21" s="64">
        <f t="shared" si="1"/>
        <v>615.65144466000004</v>
      </c>
      <c r="L21" s="65">
        <f t="shared" si="2"/>
        <v>1631.4763283490001</v>
      </c>
      <c r="M21" s="62">
        <f t="shared" si="8"/>
        <v>3262.9526566980003</v>
      </c>
      <c r="N21" s="56">
        <v>51</v>
      </c>
      <c r="O21" s="56"/>
      <c r="P21" s="60">
        <f t="shared" si="9"/>
        <v>51</v>
      </c>
      <c r="Q21" s="54">
        <v>58</v>
      </c>
      <c r="R21" s="54"/>
      <c r="S21" s="61">
        <f t="shared" si="10"/>
        <v>58</v>
      </c>
      <c r="T21" s="35">
        <v>23</v>
      </c>
      <c r="U21" s="34" t="s">
        <v>66</v>
      </c>
      <c r="V21" s="34" t="str">
        <f t="shared" si="3"/>
        <v>Huilier (porte) (1)</v>
      </c>
      <c r="W21" s="98">
        <v>143</v>
      </c>
      <c r="X21" s="99">
        <v>3</v>
      </c>
      <c r="Y21" s="99">
        <v>9</v>
      </c>
      <c r="Z21" s="116">
        <f t="shared" si="11"/>
        <v>143.1875</v>
      </c>
      <c r="AA21" s="116">
        <f t="shared" si="4"/>
        <v>143.1875</v>
      </c>
      <c r="AB21" s="73">
        <f t="shared" si="5"/>
        <v>3262.9526566980003</v>
      </c>
      <c r="AC21" s="323"/>
      <c r="AD21" s="150">
        <f t="shared" si="6"/>
        <v>145.89320000000001</v>
      </c>
      <c r="AE21" s="186">
        <f t="shared" si="12"/>
        <v>-2.7057000000000073</v>
      </c>
    </row>
    <row r="22" spans="1:31" x14ac:dyDescent="0.3">
      <c r="A22" s="161">
        <v>2</v>
      </c>
      <c r="B22" s="46" t="s">
        <v>49</v>
      </c>
      <c r="C22" s="370">
        <f>SUM(A22:A23)</f>
        <v>4</v>
      </c>
      <c r="D22" s="63">
        <v>3</v>
      </c>
      <c r="E22" s="63">
        <v>6</v>
      </c>
      <c r="F22" s="63"/>
      <c r="G22" s="146">
        <f t="shared" si="7"/>
        <v>3.75</v>
      </c>
      <c r="H22" s="278">
        <f t="shared" si="0"/>
        <v>917.82337500000006</v>
      </c>
      <c r="I22" s="366">
        <f>SUM(H22:H23)</f>
        <v>1835.6467500000001</v>
      </c>
      <c r="J22" s="369">
        <f>IF(I22="","",I22*$J$41)</f>
        <v>4864.4638875000001</v>
      </c>
      <c r="K22" s="64">
        <f t="shared" si="1"/>
        <v>458.91168750000003</v>
      </c>
      <c r="L22" s="65">
        <f t="shared" si="2"/>
        <v>1216.115971875</v>
      </c>
      <c r="M22" s="62">
        <f t="shared" si="8"/>
        <v>2432.23194375</v>
      </c>
      <c r="N22" s="56">
        <v>51</v>
      </c>
      <c r="O22" s="56"/>
      <c r="P22" s="60">
        <f t="shared" si="9"/>
        <v>51</v>
      </c>
      <c r="Q22" s="54">
        <v>58</v>
      </c>
      <c r="R22" s="54">
        <v>10</v>
      </c>
      <c r="S22" s="61">
        <f t="shared" si="10"/>
        <v>58.5</v>
      </c>
      <c r="T22" s="35">
        <v>5</v>
      </c>
      <c r="U22" s="34" t="s">
        <v>41</v>
      </c>
      <c r="V22" s="34" t="str">
        <f t="shared" si="3"/>
        <v>Jatte (2)</v>
      </c>
      <c r="W22" s="98">
        <v>219</v>
      </c>
      <c r="X22" s="99">
        <v>7</v>
      </c>
      <c r="Y22" s="99"/>
      <c r="Z22" s="116">
        <f t="shared" si="11"/>
        <v>219.35</v>
      </c>
      <c r="AA22" s="116">
        <f t="shared" si="4"/>
        <v>109.675</v>
      </c>
      <c r="AB22" s="73">
        <f t="shared" si="5"/>
        <v>4864.4638875000001</v>
      </c>
      <c r="AC22" s="323"/>
      <c r="AD22" s="150">
        <f t="shared" si="6"/>
        <v>219.375</v>
      </c>
      <c r="AE22" s="186">
        <f t="shared" si="12"/>
        <v>-2.5000000000005684E-2</v>
      </c>
    </row>
    <row r="23" spans="1:31" x14ac:dyDescent="0.3">
      <c r="A23" s="161">
        <v>2</v>
      </c>
      <c r="B23" s="46" t="s">
        <v>49</v>
      </c>
      <c r="C23" s="371"/>
      <c r="D23" s="63">
        <v>3</v>
      </c>
      <c r="E23" s="63">
        <v>6</v>
      </c>
      <c r="F23" s="63"/>
      <c r="G23" s="146">
        <f t="shared" si="7"/>
        <v>3.75</v>
      </c>
      <c r="H23" s="278">
        <f t="shared" si="0"/>
        <v>917.82337500000006</v>
      </c>
      <c r="I23" s="368"/>
      <c r="J23" s="368"/>
      <c r="K23" s="64">
        <f t="shared" si="1"/>
        <v>458.91168750000003</v>
      </c>
      <c r="L23" s="65">
        <f t="shared" si="2"/>
        <v>1216.115971875</v>
      </c>
      <c r="M23" s="62">
        <f t="shared" si="8"/>
        <v>2432.23194375</v>
      </c>
      <c r="N23" s="56">
        <v>51</v>
      </c>
      <c r="O23" s="56"/>
      <c r="P23" s="60">
        <f t="shared" si="9"/>
        <v>51</v>
      </c>
      <c r="Q23" s="54">
        <v>58</v>
      </c>
      <c r="R23" s="54">
        <v>10</v>
      </c>
      <c r="S23" s="61">
        <f t="shared" si="10"/>
        <v>58.5</v>
      </c>
      <c r="T23" s="35">
        <v>10</v>
      </c>
      <c r="U23" s="34" t="s">
        <v>44</v>
      </c>
      <c r="V23" s="34" t="str">
        <f t="shared" si="3"/>
        <v>Jatte (2)</v>
      </c>
      <c r="W23" s="98">
        <v>219</v>
      </c>
      <c r="X23" s="99">
        <v>7</v>
      </c>
      <c r="Y23" s="99"/>
      <c r="Z23" s="116">
        <f t="shared" si="11"/>
        <v>219.35</v>
      </c>
      <c r="AA23" s="116">
        <f t="shared" si="4"/>
        <v>109.675</v>
      </c>
      <c r="AB23" s="73">
        <f t="shared" si="5"/>
        <v>4864.4638875000001</v>
      </c>
      <c r="AC23" s="323" t="s">
        <v>201</v>
      </c>
      <c r="AD23" s="150">
        <f t="shared" si="6"/>
        <v>219.375</v>
      </c>
      <c r="AE23" s="186">
        <f t="shared" si="12"/>
        <v>-2.5000000000005684E-2</v>
      </c>
    </row>
    <row r="24" spans="1:31" x14ac:dyDescent="0.3">
      <c r="A24" s="161">
        <v>1</v>
      </c>
      <c r="B24" s="46" t="s">
        <v>47</v>
      </c>
      <c r="C24" s="370">
        <f>SUM(A24:A31)</f>
        <v>16</v>
      </c>
      <c r="D24" s="63">
        <v>8</v>
      </c>
      <c r="E24" s="63">
        <v>3</v>
      </c>
      <c r="F24" s="63">
        <v>6</v>
      </c>
      <c r="G24" s="146">
        <f t="shared" si="7"/>
        <v>8.4686000000000003</v>
      </c>
      <c r="H24" s="278">
        <f t="shared" si="0"/>
        <v>2072.7144089400003</v>
      </c>
      <c r="I24" s="366">
        <f>SUM(H24:H31)</f>
        <v>18409.823632200001</v>
      </c>
      <c r="J24" s="369">
        <f>IF(I24="","",I24*$J$41)</f>
        <v>48786.032625330001</v>
      </c>
      <c r="K24" s="64">
        <f t="shared" si="1"/>
        <v>2072.7144089400003</v>
      </c>
      <c r="L24" s="65">
        <f t="shared" si="2"/>
        <v>5492.6931836910007</v>
      </c>
      <c r="M24" s="62">
        <f t="shared" si="8"/>
        <v>10985.386367382001</v>
      </c>
      <c r="N24" s="56">
        <v>51</v>
      </c>
      <c r="O24" s="56"/>
      <c r="P24" s="60">
        <f t="shared" si="9"/>
        <v>51</v>
      </c>
      <c r="Q24" s="54">
        <v>52</v>
      </c>
      <c r="R24" s="54"/>
      <c r="S24" s="61">
        <f t="shared" si="10"/>
        <v>52</v>
      </c>
      <c r="T24" s="35">
        <v>24</v>
      </c>
      <c r="U24" s="34" t="s">
        <v>76</v>
      </c>
      <c r="V24" s="34" t="str">
        <f t="shared" si="3"/>
        <v>Plat (1)</v>
      </c>
      <c r="W24" s="98">
        <v>440</v>
      </c>
      <c r="X24" s="99">
        <v>7</v>
      </c>
      <c r="Y24" s="99"/>
      <c r="Z24" s="116">
        <f t="shared" si="11"/>
        <v>440.35</v>
      </c>
      <c r="AA24" s="116">
        <f t="shared" si="4"/>
        <v>440.35</v>
      </c>
      <c r="AB24" s="73">
        <f t="shared" si="5"/>
        <v>10985.386367382001</v>
      </c>
      <c r="AC24" s="323"/>
      <c r="AD24" s="150">
        <f t="shared" si="6"/>
        <v>440.36720000000003</v>
      </c>
      <c r="AE24" s="186">
        <f t="shared" si="12"/>
        <v>-1.7200000000002547E-2</v>
      </c>
    </row>
    <row r="25" spans="1:31" x14ac:dyDescent="0.3">
      <c r="A25" s="161">
        <v>1</v>
      </c>
      <c r="B25" s="46" t="s">
        <v>47</v>
      </c>
      <c r="C25" s="372"/>
      <c r="D25" s="63">
        <v>8</v>
      </c>
      <c r="E25" s="63">
        <v>2</v>
      </c>
      <c r="F25" s="63">
        <v>3</v>
      </c>
      <c r="G25" s="146">
        <f t="shared" si="7"/>
        <v>8.2967999999999993</v>
      </c>
      <c r="H25" s="278">
        <f t="shared" si="0"/>
        <v>2030.66586072</v>
      </c>
      <c r="I25" s="367"/>
      <c r="J25" s="367"/>
      <c r="K25" s="64">
        <f t="shared" si="1"/>
        <v>2030.66586072</v>
      </c>
      <c r="L25" s="65">
        <f t="shared" si="2"/>
        <v>5381.2645309079999</v>
      </c>
      <c r="M25" s="62">
        <f t="shared" si="8"/>
        <v>10762.529061816</v>
      </c>
      <c r="N25" s="56">
        <v>51</v>
      </c>
      <c r="O25" s="56"/>
      <c r="P25" s="60">
        <f t="shared" si="9"/>
        <v>51</v>
      </c>
      <c r="Q25" s="54">
        <v>52</v>
      </c>
      <c r="R25" s="54"/>
      <c r="S25" s="61">
        <f t="shared" si="10"/>
        <v>52</v>
      </c>
      <c r="T25" s="35">
        <v>20</v>
      </c>
      <c r="U25" s="34" t="s">
        <v>60</v>
      </c>
      <c r="V25" s="34" t="str">
        <f t="shared" si="3"/>
        <v>Plat (1)</v>
      </c>
      <c r="W25" s="98">
        <v>431</v>
      </c>
      <c r="X25" s="99">
        <v>8</v>
      </c>
      <c r="Y25" s="99">
        <v>9</v>
      </c>
      <c r="Z25" s="116">
        <f t="shared" si="11"/>
        <v>431.4375</v>
      </c>
      <c r="AA25" s="116">
        <f t="shared" si="4"/>
        <v>431.4375</v>
      </c>
      <c r="AB25" s="73">
        <f t="shared" si="5"/>
        <v>10762.529061816</v>
      </c>
      <c r="AC25" s="323"/>
      <c r="AD25" s="150">
        <f t="shared" si="6"/>
        <v>431.43359999999996</v>
      </c>
      <c r="AE25" s="186">
        <f t="shared" si="12"/>
        <v>3.9000000000442014E-3</v>
      </c>
    </row>
    <row r="26" spans="1:31" x14ac:dyDescent="0.3">
      <c r="A26" s="161">
        <v>1</v>
      </c>
      <c r="B26" s="46" t="s">
        <v>47</v>
      </c>
      <c r="C26" s="372"/>
      <c r="D26" s="63">
        <v>7</v>
      </c>
      <c r="E26" s="63">
        <v>5</v>
      </c>
      <c r="F26" s="63">
        <v>2</v>
      </c>
      <c r="G26" s="146">
        <f t="shared" si="7"/>
        <v>7.6562000000000001</v>
      </c>
      <c r="H26" s="278">
        <f t="shared" si="0"/>
        <v>1873.8771529800001</v>
      </c>
      <c r="I26" s="367"/>
      <c r="J26" s="367"/>
      <c r="K26" s="64">
        <f t="shared" si="1"/>
        <v>1873.8771529800001</v>
      </c>
      <c r="L26" s="65">
        <f t="shared" si="2"/>
        <v>4965.7744553970006</v>
      </c>
      <c r="M26" s="62">
        <f t="shared" si="8"/>
        <v>9931.5489107940011</v>
      </c>
      <c r="N26" s="56">
        <v>51</v>
      </c>
      <c r="O26" s="56"/>
      <c r="P26" s="60">
        <f t="shared" si="9"/>
        <v>51</v>
      </c>
      <c r="Q26" s="54">
        <v>52</v>
      </c>
      <c r="R26" s="54"/>
      <c r="S26" s="61">
        <f t="shared" si="10"/>
        <v>52</v>
      </c>
      <c r="T26" s="35">
        <v>26</v>
      </c>
      <c r="U26" s="34" t="s">
        <v>65</v>
      </c>
      <c r="V26" s="34" t="str">
        <f t="shared" si="3"/>
        <v>Plat (1)</v>
      </c>
      <c r="W26" s="98">
        <v>398</v>
      </c>
      <c r="X26" s="99">
        <v>3</v>
      </c>
      <c r="Y26" s="99"/>
      <c r="Z26" s="116">
        <f t="shared" si="11"/>
        <v>398.15</v>
      </c>
      <c r="AA26" s="116">
        <f t="shared" si="4"/>
        <v>398.15</v>
      </c>
      <c r="AB26" s="73">
        <f t="shared" si="5"/>
        <v>9931.5489107940011</v>
      </c>
      <c r="AC26" s="323"/>
      <c r="AD26" s="150">
        <f t="shared" si="6"/>
        <v>398.12240000000003</v>
      </c>
      <c r="AE26" s="186">
        <f t="shared" si="12"/>
        <v>2.7599999999949887E-2</v>
      </c>
    </row>
    <row r="27" spans="1:31" x14ac:dyDescent="0.3">
      <c r="A27" s="161">
        <v>1</v>
      </c>
      <c r="B27" s="46" t="s">
        <v>47</v>
      </c>
      <c r="C27" s="372"/>
      <c r="D27" s="63">
        <v>7</v>
      </c>
      <c r="E27" s="63">
        <v>2</v>
      </c>
      <c r="F27" s="63">
        <v>6</v>
      </c>
      <c r="G27" s="146">
        <f t="shared" si="7"/>
        <v>7.3436000000000003</v>
      </c>
      <c r="H27" s="278">
        <f t="shared" si="0"/>
        <v>1797.3673964400002</v>
      </c>
      <c r="I27" s="367"/>
      <c r="J27" s="367"/>
      <c r="K27" s="64">
        <f t="shared" si="1"/>
        <v>1797.3673964400002</v>
      </c>
      <c r="L27" s="65">
        <f t="shared" si="2"/>
        <v>4763.0236005660008</v>
      </c>
      <c r="M27" s="62">
        <f t="shared" si="8"/>
        <v>9526.0472011320016</v>
      </c>
      <c r="N27" s="56">
        <v>51</v>
      </c>
      <c r="O27" s="56"/>
      <c r="P27" s="60">
        <f t="shared" si="9"/>
        <v>51</v>
      </c>
      <c r="Q27" s="54">
        <v>52</v>
      </c>
      <c r="R27" s="54"/>
      <c r="S27" s="61">
        <f t="shared" si="10"/>
        <v>52</v>
      </c>
      <c r="T27" s="35">
        <v>26</v>
      </c>
      <c r="U27" s="34" t="s">
        <v>78</v>
      </c>
      <c r="V27" s="34" t="str">
        <f t="shared" si="3"/>
        <v>Plat (1)</v>
      </c>
      <c r="W27" s="98">
        <v>381</v>
      </c>
      <c r="X27" s="99">
        <v>17</v>
      </c>
      <c r="Y27" s="99"/>
      <c r="Z27" s="116">
        <f t="shared" si="11"/>
        <v>381.85</v>
      </c>
      <c r="AA27" s="116">
        <f t="shared" si="4"/>
        <v>381.85</v>
      </c>
      <c r="AB27" s="73">
        <f t="shared" si="5"/>
        <v>9526.0472011320016</v>
      </c>
      <c r="AC27" s="323"/>
      <c r="AD27" s="150">
        <f t="shared" si="6"/>
        <v>381.86720000000003</v>
      </c>
      <c r="AE27" s="186">
        <f t="shared" si="12"/>
        <v>-1.7200000000002547E-2</v>
      </c>
    </row>
    <row r="28" spans="1:31" x14ac:dyDescent="0.3">
      <c r="A28" s="161">
        <v>4</v>
      </c>
      <c r="B28" s="46" t="s">
        <v>47</v>
      </c>
      <c r="C28" s="372"/>
      <c r="D28" s="63">
        <v>15</v>
      </c>
      <c r="E28" s="63">
        <v>5</v>
      </c>
      <c r="F28" s="63"/>
      <c r="G28" s="146">
        <f t="shared" si="7"/>
        <v>15.625</v>
      </c>
      <c r="H28" s="278">
        <f t="shared" si="0"/>
        <v>3824.2640625000004</v>
      </c>
      <c r="I28" s="367"/>
      <c r="J28" s="367"/>
      <c r="K28" s="64">
        <f t="shared" si="1"/>
        <v>956.06601562500009</v>
      </c>
      <c r="L28" s="65">
        <f t="shared" si="2"/>
        <v>2533.5749414062502</v>
      </c>
      <c r="M28" s="62">
        <f t="shared" si="8"/>
        <v>5067.1498828125004</v>
      </c>
      <c r="N28" s="56">
        <v>51</v>
      </c>
      <c r="O28" s="56"/>
      <c r="P28" s="60">
        <f t="shared" si="9"/>
        <v>51</v>
      </c>
      <c r="Q28" s="54">
        <v>52</v>
      </c>
      <c r="R28" s="54"/>
      <c r="S28" s="61">
        <f t="shared" si="10"/>
        <v>52</v>
      </c>
      <c r="T28" s="35">
        <v>26</v>
      </c>
      <c r="U28" s="34" t="s">
        <v>79</v>
      </c>
      <c r="V28" s="34" t="str">
        <f t="shared" si="3"/>
        <v>Plat (4)</v>
      </c>
      <c r="W28" s="98">
        <v>812</v>
      </c>
      <c r="X28" s="99"/>
      <c r="Y28" s="99"/>
      <c r="Z28" s="116">
        <f t="shared" si="11"/>
        <v>812</v>
      </c>
      <c r="AA28" s="116">
        <f t="shared" si="4"/>
        <v>203</v>
      </c>
      <c r="AB28" s="73">
        <f t="shared" si="5"/>
        <v>20268.599531250002</v>
      </c>
      <c r="AC28" s="323"/>
      <c r="AD28" s="150">
        <f t="shared" si="6"/>
        <v>812.5</v>
      </c>
      <c r="AE28" s="186">
        <f t="shared" si="12"/>
        <v>-0.5</v>
      </c>
    </row>
    <row r="29" spans="1:31" x14ac:dyDescent="0.3">
      <c r="A29" s="161">
        <v>4</v>
      </c>
      <c r="B29" s="46" t="s">
        <v>47</v>
      </c>
      <c r="C29" s="372"/>
      <c r="D29" s="63">
        <v>11</v>
      </c>
      <c r="E29" s="63">
        <v>1</v>
      </c>
      <c r="F29" s="63">
        <v>7</v>
      </c>
      <c r="G29" s="146">
        <f t="shared" si="7"/>
        <v>11.2342</v>
      </c>
      <c r="H29" s="278">
        <f t="shared" si="0"/>
        <v>2749.6030291799998</v>
      </c>
      <c r="I29" s="367"/>
      <c r="J29" s="367"/>
      <c r="K29" s="64">
        <f t="shared" si="1"/>
        <v>687.40075729499995</v>
      </c>
      <c r="L29" s="65">
        <f t="shared" si="2"/>
        <v>1821.6120068317498</v>
      </c>
      <c r="M29" s="62">
        <f t="shared" si="8"/>
        <v>3643.2240136634996</v>
      </c>
      <c r="N29" s="56">
        <v>51</v>
      </c>
      <c r="O29" s="56"/>
      <c r="P29" s="60">
        <f t="shared" si="9"/>
        <v>51</v>
      </c>
      <c r="Q29" s="54">
        <v>52</v>
      </c>
      <c r="R29" s="54">
        <v>10</v>
      </c>
      <c r="S29" s="61">
        <f t="shared" si="10"/>
        <v>52.5</v>
      </c>
      <c r="T29" s="35">
        <v>17</v>
      </c>
      <c r="U29" s="34" t="s">
        <v>38</v>
      </c>
      <c r="V29" s="34" t="str">
        <f t="shared" si="3"/>
        <v>Plat (4)</v>
      </c>
      <c r="W29" s="98">
        <v>589</v>
      </c>
      <c r="X29" s="99">
        <v>16</v>
      </c>
      <c r="Y29" s="99"/>
      <c r="Z29" s="116">
        <f t="shared" si="11"/>
        <v>589.79999999999995</v>
      </c>
      <c r="AA29" s="116">
        <f t="shared" si="4"/>
        <v>147.44999999999999</v>
      </c>
      <c r="AB29" s="73">
        <f t="shared" si="5"/>
        <v>14572.896054653998</v>
      </c>
      <c r="AC29" s="323"/>
      <c r="AD29" s="150">
        <f t="shared" si="6"/>
        <v>589.79549999999995</v>
      </c>
      <c r="AE29" s="186">
        <f t="shared" si="12"/>
        <v>4.500000000007276E-3</v>
      </c>
    </row>
    <row r="30" spans="1:31" x14ac:dyDescent="0.3">
      <c r="A30" s="161">
        <v>2</v>
      </c>
      <c r="B30" s="46" t="s">
        <v>59</v>
      </c>
      <c r="C30" s="372"/>
      <c r="D30" s="63">
        <v>8</v>
      </c>
      <c r="E30" s="63">
        <v>2</v>
      </c>
      <c r="F30" s="63">
        <v>3</v>
      </c>
      <c r="G30" s="146">
        <f t="shared" si="7"/>
        <v>8.2967999999999993</v>
      </c>
      <c r="H30" s="278">
        <f t="shared" si="0"/>
        <v>2030.66586072</v>
      </c>
      <c r="I30" s="367"/>
      <c r="J30" s="367"/>
      <c r="K30" s="64">
        <f t="shared" si="1"/>
        <v>1015.33293036</v>
      </c>
      <c r="L30" s="65">
        <f t="shared" si="2"/>
        <v>2690.6322654539999</v>
      </c>
      <c r="M30" s="62">
        <f t="shared" si="8"/>
        <v>5381.2645309079999</v>
      </c>
      <c r="N30" s="56">
        <v>51</v>
      </c>
      <c r="O30" s="56"/>
      <c r="P30" s="60">
        <f t="shared" si="9"/>
        <v>51</v>
      </c>
      <c r="Q30" s="54">
        <v>54</v>
      </c>
      <c r="R30" s="54">
        <v>10</v>
      </c>
      <c r="S30" s="61">
        <f t="shared" si="10"/>
        <v>54.5</v>
      </c>
      <c r="T30" s="35">
        <v>20</v>
      </c>
      <c r="U30" s="34" t="s">
        <v>60</v>
      </c>
      <c r="V30" s="34" t="str">
        <f t="shared" si="3"/>
        <v>Plat ovale (2)</v>
      </c>
      <c r="W30" s="98">
        <v>452</v>
      </c>
      <c r="X30" s="99">
        <v>3</v>
      </c>
      <c r="Y30" s="99">
        <v>6</v>
      </c>
      <c r="Z30" s="116">
        <f t="shared" si="11"/>
        <v>452.17499999999995</v>
      </c>
      <c r="AA30" s="116">
        <f t="shared" si="4"/>
        <v>226.08749999999998</v>
      </c>
      <c r="AB30" s="73">
        <f t="shared" si="5"/>
        <v>10762.529061816</v>
      </c>
      <c r="AC30" s="323"/>
      <c r="AD30" s="150">
        <f t="shared" si="6"/>
        <v>452.17559999999997</v>
      </c>
      <c r="AE30" s="186">
        <f t="shared" si="12"/>
        <v>-6.0000000001991793E-4</v>
      </c>
    </row>
    <row r="31" spans="1:31" x14ac:dyDescent="0.3">
      <c r="A31" s="161">
        <v>2</v>
      </c>
      <c r="B31" s="46" t="s">
        <v>59</v>
      </c>
      <c r="C31" s="371"/>
      <c r="D31" s="63">
        <v>8</v>
      </c>
      <c r="E31" s="63">
        <v>2</v>
      </c>
      <c r="F31" s="63">
        <v>3</v>
      </c>
      <c r="G31" s="146">
        <f t="shared" si="7"/>
        <v>8.2967999999999993</v>
      </c>
      <c r="H31" s="278">
        <f t="shared" si="0"/>
        <v>2030.66586072</v>
      </c>
      <c r="I31" s="368"/>
      <c r="J31" s="368"/>
      <c r="K31" s="64">
        <f t="shared" si="1"/>
        <v>1015.33293036</v>
      </c>
      <c r="L31" s="65">
        <f t="shared" si="2"/>
        <v>2690.6322654539999</v>
      </c>
      <c r="M31" s="62">
        <f t="shared" si="8"/>
        <v>5381.2645309079999</v>
      </c>
      <c r="N31" s="56">
        <v>51</v>
      </c>
      <c r="O31" s="56"/>
      <c r="P31" s="60">
        <f t="shared" si="9"/>
        <v>51</v>
      </c>
      <c r="Q31" s="54">
        <v>54</v>
      </c>
      <c r="R31" s="54">
        <v>10</v>
      </c>
      <c r="S31" s="61">
        <f t="shared" si="10"/>
        <v>54.5</v>
      </c>
      <c r="T31" s="35">
        <v>20</v>
      </c>
      <c r="U31" s="34" t="s">
        <v>60</v>
      </c>
      <c r="V31" s="34" t="str">
        <f t="shared" si="3"/>
        <v>Plat ovale (2)</v>
      </c>
      <c r="W31" s="98">
        <v>452</v>
      </c>
      <c r="X31" s="99">
        <v>3</v>
      </c>
      <c r="Y31" s="99">
        <v>6</v>
      </c>
      <c r="Z31" s="116">
        <f t="shared" si="11"/>
        <v>452.17499999999995</v>
      </c>
      <c r="AA31" s="116">
        <f t="shared" si="4"/>
        <v>226.08749999999998</v>
      </c>
      <c r="AB31" s="73">
        <f t="shared" si="5"/>
        <v>10762.529061816</v>
      </c>
      <c r="AC31" s="323"/>
      <c r="AD31" s="150">
        <f t="shared" si="6"/>
        <v>452.17559999999997</v>
      </c>
      <c r="AE31" s="186">
        <f t="shared" si="12"/>
        <v>-6.0000000001991793E-4</v>
      </c>
    </row>
    <row r="32" spans="1:31" x14ac:dyDescent="0.3">
      <c r="A32" s="161">
        <v>4</v>
      </c>
      <c r="B32" s="46" t="s">
        <v>77</v>
      </c>
      <c r="C32" s="45">
        <f>A32</f>
        <v>4</v>
      </c>
      <c r="D32" s="63">
        <v>3</v>
      </c>
      <c r="E32" s="63"/>
      <c r="F32" s="63">
        <v>4</v>
      </c>
      <c r="G32" s="146">
        <f t="shared" si="7"/>
        <v>3.0623999999999998</v>
      </c>
      <c r="H32" s="278">
        <f t="shared" si="0"/>
        <v>749.53128096</v>
      </c>
      <c r="I32" s="47">
        <f>H32</f>
        <v>749.53128096</v>
      </c>
      <c r="J32" s="37">
        <f>IF(I32="","",I32*$J$41)</f>
        <v>1986.257894544</v>
      </c>
      <c r="K32" s="64">
        <f t="shared" si="1"/>
        <v>187.38282024</v>
      </c>
      <c r="L32" s="65">
        <f t="shared" si="2"/>
        <v>496.564473636</v>
      </c>
      <c r="M32" s="62">
        <f t="shared" si="8"/>
        <v>993.128947272</v>
      </c>
      <c r="N32" s="56">
        <v>51</v>
      </c>
      <c r="O32" s="56"/>
      <c r="P32" s="60">
        <f t="shared" si="9"/>
        <v>51</v>
      </c>
      <c r="Q32" s="54">
        <v>52</v>
      </c>
      <c r="R32" s="54">
        <v>15</v>
      </c>
      <c r="S32" s="61">
        <f t="shared" si="10"/>
        <v>52.75</v>
      </c>
      <c r="T32" s="35">
        <v>25</v>
      </c>
      <c r="U32" s="34" t="s">
        <v>46</v>
      </c>
      <c r="V32" s="34" t="str">
        <f t="shared" si="3"/>
        <v>Salière (4)</v>
      </c>
      <c r="W32" s="98">
        <v>161</v>
      </c>
      <c r="X32" s="99">
        <v>11</v>
      </c>
      <c r="Y32" s="99"/>
      <c r="Z32" s="116">
        <f t="shared" si="11"/>
        <v>161.55000000000001</v>
      </c>
      <c r="AA32" s="116">
        <f t="shared" si="4"/>
        <v>40.387500000000003</v>
      </c>
      <c r="AB32" s="73">
        <f t="shared" si="5"/>
        <v>3972.515789088</v>
      </c>
      <c r="AC32" s="323"/>
      <c r="AD32" s="150">
        <f t="shared" si="6"/>
        <v>161.54159999999999</v>
      </c>
      <c r="AE32" s="186">
        <f t="shared" si="12"/>
        <v>8.4000000000230557E-3</v>
      </c>
    </row>
    <row r="33" spans="1:31" x14ac:dyDescent="0.3">
      <c r="A33" s="161">
        <v>2</v>
      </c>
      <c r="B33" s="46" t="s">
        <v>48</v>
      </c>
      <c r="C33" s="45">
        <f>A33</f>
        <v>2</v>
      </c>
      <c r="D33" s="63">
        <v>3</v>
      </c>
      <c r="E33" s="63">
        <v>2</v>
      </c>
      <c r="F33" s="63">
        <v>5</v>
      </c>
      <c r="G33" s="146">
        <f t="shared" si="7"/>
        <v>3.3279999999999998</v>
      </c>
      <c r="H33" s="278">
        <f t="shared" si="0"/>
        <v>814.53765120000003</v>
      </c>
      <c r="I33" s="47">
        <f>H33</f>
        <v>814.53765120000003</v>
      </c>
      <c r="J33" s="37">
        <f>IF(I33="","",I33*$J$41)</f>
        <v>2158.5247756799999</v>
      </c>
      <c r="K33" s="64">
        <f t="shared" si="1"/>
        <v>407.26882560000001</v>
      </c>
      <c r="L33" s="65">
        <f t="shared" si="2"/>
        <v>1079.26238784</v>
      </c>
      <c r="M33" s="62">
        <f t="shared" si="8"/>
        <v>2158.5247756799999</v>
      </c>
      <c r="N33" s="56">
        <v>51</v>
      </c>
      <c r="O33" s="56"/>
      <c r="P33" s="60">
        <f t="shared" si="9"/>
        <v>51</v>
      </c>
      <c r="Q33" s="54">
        <v>53</v>
      </c>
      <c r="R33" s="54">
        <v>10</v>
      </c>
      <c r="S33" s="61">
        <f t="shared" si="10"/>
        <v>53.5</v>
      </c>
      <c r="T33" s="35">
        <v>4</v>
      </c>
      <c r="U33" s="34" t="s">
        <v>38</v>
      </c>
      <c r="V33" s="34" t="str">
        <f t="shared" si="3"/>
        <v>Saucière (2)</v>
      </c>
      <c r="W33" s="98">
        <v>178</v>
      </c>
      <c r="X33" s="99">
        <v>4</v>
      </c>
      <c r="Y33" s="99">
        <v>2</v>
      </c>
      <c r="Z33" s="116">
        <f t="shared" si="11"/>
        <v>178.20833333333331</v>
      </c>
      <c r="AA33" s="116">
        <f t="shared" si="4"/>
        <v>89.104166666666657</v>
      </c>
      <c r="AB33" s="73">
        <f t="shared" si="5"/>
        <v>4317.0495513599999</v>
      </c>
      <c r="AC33" s="323"/>
      <c r="AD33" s="150">
        <f t="shared" si="6"/>
        <v>178.048</v>
      </c>
      <c r="AE33" s="186">
        <f t="shared" si="12"/>
        <v>0.16033333333331257</v>
      </c>
    </row>
    <row r="34" spans="1:31" x14ac:dyDescent="0.3">
      <c r="A34" s="161">
        <v>1</v>
      </c>
      <c r="B34" s="46" t="s">
        <v>52</v>
      </c>
      <c r="C34" s="370">
        <f>SUM(A34:A35)</f>
        <v>2</v>
      </c>
      <c r="D34" s="63">
        <v>2</v>
      </c>
      <c r="E34" s="63">
        <v>5</v>
      </c>
      <c r="F34" s="63">
        <v>2</v>
      </c>
      <c r="G34" s="146">
        <f t="shared" si="7"/>
        <v>2.6562000000000001</v>
      </c>
      <c r="H34" s="278">
        <f t="shared" si="0"/>
        <v>650.11265298000001</v>
      </c>
      <c r="I34" s="366">
        <f>SUM(H34:H35)</f>
        <v>1292.5890154799999</v>
      </c>
      <c r="J34" s="369">
        <f>IF(I34="","",I34*$J$41)</f>
        <v>3425.3608910219996</v>
      </c>
      <c r="K34" s="64">
        <f t="shared" si="1"/>
        <v>650.11265298000001</v>
      </c>
      <c r="L34" s="65">
        <f t="shared" si="2"/>
        <v>1722.7985303969999</v>
      </c>
      <c r="M34" s="62">
        <f t="shared" si="8"/>
        <v>3445.5970607939998</v>
      </c>
      <c r="N34" s="56">
        <v>51</v>
      </c>
      <c r="O34" s="56"/>
      <c r="P34" s="60">
        <f t="shared" si="9"/>
        <v>51</v>
      </c>
      <c r="Q34" s="54">
        <v>60</v>
      </c>
      <c r="R34" s="54"/>
      <c r="S34" s="61">
        <f t="shared" si="10"/>
        <v>60</v>
      </c>
      <c r="T34" s="35">
        <v>23</v>
      </c>
      <c r="U34" s="34" t="s">
        <v>65</v>
      </c>
      <c r="V34" s="34" t="str">
        <f t="shared" si="3"/>
        <v>Sucrier (1)</v>
      </c>
      <c r="W34" s="98">
        <v>159</v>
      </c>
      <c r="X34" s="99">
        <v>7</v>
      </c>
      <c r="Y34" s="99"/>
      <c r="Z34" s="116">
        <f t="shared" si="11"/>
        <v>159.35</v>
      </c>
      <c r="AA34" s="116">
        <f t="shared" si="4"/>
        <v>159.35</v>
      </c>
      <c r="AB34" s="73">
        <f t="shared" si="5"/>
        <v>3445.5970607939998</v>
      </c>
      <c r="AC34" s="323"/>
      <c r="AD34" s="150">
        <f t="shared" si="6"/>
        <v>159.37200000000001</v>
      </c>
      <c r="AE34" s="186">
        <f t="shared" si="12"/>
        <v>-2.2000000000019782E-2</v>
      </c>
    </row>
    <row r="35" spans="1:31" x14ac:dyDescent="0.3">
      <c r="A35" s="161">
        <v>1</v>
      </c>
      <c r="B35" s="46" t="s">
        <v>52</v>
      </c>
      <c r="C35" s="371"/>
      <c r="D35" s="63">
        <v>2</v>
      </c>
      <c r="E35" s="63">
        <v>5</v>
      </c>
      <c r="F35" s="63"/>
      <c r="G35" s="146">
        <f t="shared" si="7"/>
        <v>2.625</v>
      </c>
      <c r="H35" s="278">
        <f t="shared" si="0"/>
        <v>642.47636250000005</v>
      </c>
      <c r="I35" s="368"/>
      <c r="J35" s="368"/>
      <c r="K35" s="64">
        <f t="shared" si="1"/>
        <v>642.47636250000005</v>
      </c>
      <c r="L35" s="65">
        <f t="shared" si="2"/>
        <v>1702.5623606250001</v>
      </c>
      <c r="M35" s="62">
        <f t="shared" si="8"/>
        <v>3405.1247212500002</v>
      </c>
      <c r="N35" s="56">
        <v>51</v>
      </c>
      <c r="O35" s="56"/>
      <c r="P35" s="60">
        <f t="shared" si="9"/>
        <v>51</v>
      </c>
      <c r="Q35" s="54">
        <v>54</v>
      </c>
      <c r="R35" s="54">
        <v>10</v>
      </c>
      <c r="S35" s="61">
        <f t="shared" si="10"/>
        <v>54.5</v>
      </c>
      <c r="T35" s="35">
        <v>17</v>
      </c>
      <c r="U35" s="34" t="s">
        <v>53</v>
      </c>
      <c r="V35" s="34" t="str">
        <f t="shared" si="3"/>
        <v>Sucrier (1)</v>
      </c>
      <c r="W35" s="98">
        <v>143</v>
      </c>
      <c r="X35" s="99">
        <v>1</v>
      </c>
      <c r="Y35" s="99">
        <v>3</v>
      </c>
      <c r="Z35" s="116">
        <f t="shared" si="11"/>
        <v>143.0625</v>
      </c>
      <c r="AA35" s="116">
        <f t="shared" si="4"/>
        <v>143.0625</v>
      </c>
      <c r="AB35" s="73">
        <f t="shared" si="5"/>
        <v>3405.1247212500002</v>
      </c>
      <c r="AC35" s="323"/>
      <c r="AD35" s="150">
        <f t="shared" si="6"/>
        <v>143.0625</v>
      </c>
      <c r="AE35" s="186" t="str">
        <f t="shared" si="12"/>
        <v>✓</v>
      </c>
    </row>
    <row r="36" spans="1:31" x14ac:dyDescent="0.3">
      <c r="A36" s="187"/>
      <c r="B36" s="324"/>
      <c r="C36" s="32"/>
      <c r="D36" s="325"/>
      <c r="E36" s="325"/>
      <c r="F36" s="325"/>
      <c r="G36" s="326"/>
      <c r="H36" s="327"/>
      <c r="I36" s="328"/>
      <c r="J36" s="328"/>
      <c r="K36" s="329"/>
      <c r="L36" s="329"/>
      <c r="M36" s="328"/>
      <c r="N36" s="325"/>
      <c r="O36" s="325"/>
      <c r="P36" s="32"/>
      <c r="Q36" s="330"/>
      <c r="R36" s="330"/>
      <c r="S36" s="32"/>
      <c r="T36" s="325"/>
      <c r="U36" s="324"/>
      <c r="V36" s="324"/>
      <c r="W36" s="324"/>
      <c r="X36" s="324"/>
      <c r="Y36" s="324"/>
      <c r="Z36" s="331"/>
      <c r="AA36" s="331"/>
      <c r="AB36" s="332"/>
      <c r="AC36" s="331"/>
      <c r="AD36" s="333"/>
      <c r="AE36" s="188"/>
    </row>
    <row r="37" spans="1:31" s="66" customFormat="1" ht="13.5" x14ac:dyDescent="0.3">
      <c r="A37" s="189" t="str">
        <f>A1</f>
        <v>Q</v>
      </c>
      <c r="B37" s="334" t="str">
        <f t="shared" ref="B37:AC37" si="18">B1</f>
        <v>Objet</v>
      </c>
      <c r="C37" s="334" t="str">
        <f t="shared" si="18"/>
        <v>Qto</v>
      </c>
      <c r="D37" s="334" t="str">
        <f t="shared" si="18"/>
        <v>M</v>
      </c>
      <c r="E37" s="334" t="str">
        <f t="shared" si="18"/>
        <v>O</v>
      </c>
      <c r="F37" s="334" t="str">
        <f t="shared" si="18"/>
        <v>G</v>
      </c>
      <c r="G37" s="335"/>
      <c r="H37" s="336" t="str">
        <f t="shared" si="18"/>
        <v>Gr</v>
      </c>
      <c r="I37" s="334" t="str">
        <f t="shared" si="18"/>
        <v>GrTo</v>
      </c>
      <c r="J37" s="334" t="str">
        <f t="shared" si="18"/>
        <v>$To</v>
      </c>
      <c r="K37" s="334" t="str">
        <f t="shared" si="18"/>
        <v>Gr1</v>
      </c>
      <c r="L37" s="334" t="str">
        <f t="shared" si="18"/>
        <v>$1</v>
      </c>
      <c r="M37" s="334" t="str">
        <f t="shared" si="18"/>
        <v>$1F</v>
      </c>
      <c r="N37" s="334" t="str">
        <f t="shared" si="18"/>
        <v>Em</v>
      </c>
      <c r="O37" s="334" t="str">
        <f t="shared" si="18"/>
        <v>Es</v>
      </c>
      <c r="P37" s="334" t="str">
        <f t="shared" si="18"/>
        <v>Ed</v>
      </c>
      <c r="Q37" s="334" t="str">
        <f t="shared" si="18"/>
        <v>Vm</v>
      </c>
      <c r="R37" s="334" t="str">
        <f t="shared" si="18"/>
        <v>Vs</v>
      </c>
      <c r="S37" s="334" t="str">
        <f t="shared" si="18"/>
        <v>Vd</v>
      </c>
      <c r="T37" s="334" t="str">
        <f>T1</f>
        <v>pdf</v>
      </c>
      <c r="U37" s="334" t="str">
        <f t="shared" si="18"/>
        <v>Acheteur</v>
      </c>
      <c r="V37" s="334" t="str">
        <f t="shared" ref="V37:AB37" si="19">V1</f>
        <v>Ao</v>
      </c>
      <c r="W37" s="334" t="str">
        <f>W1</f>
        <v>#</v>
      </c>
      <c r="X37" s="334" t="str">
        <f>X1</f>
        <v>s</v>
      </c>
      <c r="Y37" s="334" t="str">
        <f>Y1</f>
        <v>d</v>
      </c>
      <c r="Z37" s="334" t="str">
        <f>Z1</f>
        <v>#d</v>
      </c>
      <c r="AA37" s="334" t="str">
        <f>AA1</f>
        <v>#d1</v>
      </c>
      <c r="AB37" s="334" t="str">
        <f t="shared" si="19"/>
        <v>$AF</v>
      </c>
      <c r="AC37" s="311" t="str">
        <f t="shared" si="18"/>
        <v>Note</v>
      </c>
      <c r="AD37" s="334" t="str">
        <f>AD1</f>
        <v>#dv</v>
      </c>
      <c r="AE37" s="190" t="str">
        <f>AE1</f>
        <v>#de</v>
      </c>
    </row>
    <row r="38" spans="1:31" s="283" customFormat="1" ht="13.5" x14ac:dyDescent="0.3">
      <c r="A38" s="281">
        <f t="shared" ref="A38:AC38" si="20">COUNTA(A2:A35)</f>
        <v>34</v>
      </c>
      <c r="B38" s="337">
        <f t="shared" si="20"/>
        <v>34</v>
      </c>
      <c r="C38" s="337">
        <f>COUNTA(C2:C35)</f>
        <v>18</v>
      </c>
      <c r="D38" s="337">
        <f t="shared" si="20"/>
        <v>32</v>
      </c>
      <c r="E38" s="337">
        <f t="shared" si="20"/>
        <v>28</v>
      </c>
      <c r="F38" s="337">
        <f t="shared" si="20"/>
        <v>26</v>
      </c>
      <c r="G38" s="337">
        <f t="shared" si="20"/>
        <v>34</v>
      </c>
      <c r="H38" s="337">
        <f t="shared" si="20"/>
        <v>34</v>
      </c>
      <c r="I38" s="337">
        <f>COUNTA(I2:I34)</f>
        <v>18</v>
      </c>
      <c r="J38" s="337">
        <f>COUNTA(J2:J35)</f>
        <v>18</v>
      </c>
      <c r="K38" s="337">
        <f t="shared" si="20"/>
        <v>34</v>
      </c>
      <c r="L38" s="337">
        <f t="shared" si="20"/>
        <v>34</v>
      </c>
      <c r="M38" s="337">
        <f t="shared" si="20"/>
        <v>34</v>
      </c>
      <c r="N38" s="337">
        <f t="shared" si="20"/>
        <v>33</v>
      </c>
      <c r="O38" s="337">
        <f t="shared" si="20"/>
        <v>1</v>
      </c>
      <c r="P38" s="337">
        <f t="shared" si="20"/>
        <v>33</v>
      </c>
      <c r="Q38" s="337">
        <f t="shared" si="20"/>
        <v>33</v>
      </c>
      <c r="R38" s="337">
        <f t="shared" si="20"/>
        <v>17</v>
      </c>
      <c r="S38" s="337">
        <f t="shared" si="20"/>
        <v>34</v>
      </c>
      <c r="T38" s="337">
        <f>COUNTA(T2:T35)</f>
        <v>34</v>
      </c>
      <c r="U38" s="337">
        <f t="shared" si="20"/>
        <v>34</v>
      </c>
      <c r="V38" s="337">
        <f t="shared" ref="V38:AB38" si="21">COUNTA(V2:V35)</f>
        <v>34</v>
      </c>
      <c r="W38" s="337">
        <f>COUNTA(W2:W35)</f>
        <v>34</v>
      </c>
      <c r="X38" s="337">
        <f>COUNTA(X2:X35)</f>
        <v>29</v>
      </c>
      <c r="Y38" s="337">
        <f>COUNTA(Y2:Y35)</f>
        <v>14</v>
      </c>
      <c r="Z38" s="337">
        <f>COUNTA(Z2:Z35)</f>
        <v>34</v>
      </c>
      <c r="AA38" s="337">
        <f>COUNTA(AA2:AA35)</f>
        <v>34</v>
      </c>
      <c r="AB38" s="337">
        <f t="shared" si="21"/>
        <v>34</v>
      </c>
      <c r="AC38" s="338">
        <f t="shared" si="20"/>
        <v>5</v>
      </c>
      <c r="AD38" s="337">
        <f>COUNTA(AD2:AD35)</f>
        <v>34</v>
      </c>
      <c r="AE38" s="282">
        <f>COUNTA(AE2:AE35)</f>
        <v>34</v>
      </c>
    </row>
    <row r="39" spans="1:31" x14ac:dyDescent="0.3">
      <c r="A39" s="187"/>
      <c r="B39" s="324"/>
      <c r="C39" s="32"/>
      <c r="D39" s="325"/>
      <c r="E39" s="325"/>
      <c r="F39" s="325"/>
      <c r="G39" s="326"/>
      <c r="H39" s="327"/>
      <c r="I39" s="328"/>
      <c r="J39" s="328"/>
      <c r="K39" s="329"/>
      <c r="L39" s="329"/>
      <c r="M39" s="328"/>
      <c r="N39" s="79"/>
      <c r="O39" s="80"/>
      <c r="P39" s="81"/>
      <c r="Q39" s="82"/>
      <c r="R39" s="83"/>
      <c r="S39" s="81"/>
      <c r="T39" s="325"/>
      <c r="U39" s="324"/>
      <c r="V39" s="324"/>
      <c r="W39" s="324"/>
      <c r="X39" s="324"/>
      <c r="Y39" s="324"/>
      <c r="Z39" s="331"/>
      <c r="AA39" s="331"/>
      <c r="AB39" s="324"/>
      <c r="AC39" s="331"/>
      <c r="AD39" s="333"/>
      <c r="AE39" s="188"/>
    </row>
    <row r="40" spans="1:31" s="74" customFormat="1" ht="13.5" x14ac:dyDescent="0.3">
      <c r="A40" s="191" t="s">
        <v>92</v>
      </c>
      <c r="C40" s="69" t="s">
        <v>92</v>
      </c>
      <c r="G40" s="105"/>
      <c r="H40" s="52" t="s">
        <v>83</v>
      </c>
      <c r="I40" s="48" t="s">
        <v>83</v>
      </c>
      <c r="J40" s="50" t="s">
        <v>84</v>
      </c>
      <c r="K40" s="59" t="s">
        <v>82</v>
      </c>
      <c r="L40" s="58" t="str">
        <f>J40</f>
        <v>1g $CAN</v>
      </c>
      <c r="M40" s="58" t="str">
        <f>J40</f>
        <v>1g $CAN</v>
      </c>
      <c r="N40" s="84"/>
      <c r="P40" s="87" t="s">
        <v>102</v>
      </c>
      <c r="Q40" s="84"/>
      <c r="S40" s="90" t="s">
        <v>82</v>
      </c>
      <c r="Z40" s="100" t="s">
        <v>104</v>
      </c>
      <c r="AA40" s="148"/>
      <c r="AB40" s="69" t="s">
        <v>83</v>
      </c>
      <c r="AD40" s="152"/>
      <c r="AE40" s="192" t="s">
        <v>181</v>
      </c>
    </row>
    <row r="41" spans="1:31" s="27" customFormat="1" ht="13.5" x14ac:dyDescent="0.3">
      <c r="A41" s="193">
        <f>SUM(A2:A35)</f>
        <v>109</v>
      </c>
      <c r="C41" s="70">
        <f>SUM(C2:C35)</f>
        <v>109</v>
      </c>
      <c r="D41" s="15"/>
      <c r="E41" s="15"/>
      <c r="F41" s="15"/>
      <c r="G41" s="29"/>
      <c r="H41" s="279">
        <f>SUM(H2:H35)</f>
        <v>36645.334249020001</v>
      </c>
      <c r="I41" s="49">
        <f>SUM(I2:I34)</f>
        <v>36645.334249020001</v>
      </c>
      <c r="J41" s="51">
        <v>2.65</v>
      </c>
      <c r="K41" s="57">
        <f>AVERAGE(K2:K35)</f>
        <v>634.62351369426483</v>
      </c>
      <c r="L41" s="77">
        <f>J41</f>
        <v>2.65</v>
      </c>
      <c r="M41" s="77">
        <f>J41</f>
        <v>2.65</v>
      </c>
      <c r="N41" s="85"/>
      <c r="O41" s="15"/>
      <c r="P41" s="88">
        <v>51</v>
      </c>
      <c r="Q41" s="84"/>
      <c r="R41" s="74"/>
      <c r="S41" s="115">
        <f>AVERAGE(S$2:S$35)</f>
        <v>55.016505526941955</v>
      </c>
      <c r="T41" s="15"/>
      <c r="W41" s="15"/>
      <c r="X41" s="74"/>
      <c r="Y41" s="74"/>
      <c r="Z41" s="101">
        <f>SUM(Z2:Z35)</f>
        <v>8136.2333333333336</v>
      </c>
      <c r="AA41" s="149"/>
      <c r="AB41" s="91">
        <f>SUM(AB$2:AB$35)</f>
        <v>194220.271519806</v>
      </c>
      <c r="AC41" s="40" t="s">
        <v>81</v>
      </c>
      <c r="AD41" s="153"/>
      <c r="AE41" s="194">
        <f>AVERAGE(AE2:AE35)</f>
        <v>-5.7010555555561622E-2</v>
      </c>
    </row>
    <row r="42" spans="1:31" s="27" customFormat="1" ht="13.5" x14ac:dyDescent="0.3">
      <c r="A42" s="195"/>
      <c r="C42" s="15"/>
      <c r="D42" s="15"/>
      <c r="E42" s="15"/>
      <c r="F42" s="15"/>
      <c r="G42" s="29"/>
      <c r="H42" s="273"/>
      <c r="I42" s="274" t="s">
        <v>198</v>
      </c>
      <c r="J42" s="48" t="s">
        <v>83</v>
      </c>
      <c r="K42" s="58" t="s">
        <v>86</v>
      </c>
      <c r="L42" s="71" t="s">
        <v>96</v>
      </c>
      <c r="M42" s="71" t="s">
        <v>95</v>
      </c>
      <c r="N42" s="85"/>
      <c r="O42" s="15"/>
      <c r="P42" s="86" t="s">
        <v>100</v>
      </c>
      <c r="Q42" s="84"/>
      <c r="R42" s="74"/>
      <c r="S42" s="89" t="s">
        <v>100</v>
      </c>
      <c r="T42" s="15"/>
      <c r="W42" s="339"/>
      <c r="X42" s="74"/>
      <c r="Y42" s="74"/>
      <c r="Z42" s="100" t="s">
        <v>105</v>
      </c>
      <c r="AA42" s="117"/>
      <c r="AB42" s="15" t="str">
        <f>IF(AB41=J45,"✓","NON")</f>
        <v>✓</v>
      </c>
      <c r="AD42" s="340"/>
      <c r="AE42" s="192" t="s">
        <v>100</v>
      </c>
    </row>
    <row r="43" spans="1:31" s="27" customFormat="1" ht="13.5" x14ac:dyDescent="0.3">
      <c r="A43" s="195"/>
      <c r="C43" s="15"/>
      <c r="D43" s="15"/>
      <c r="E43" s="15"/>
      <c r="F43" s="15"/>
      <c r="G43" s="29"/>
      <c r="H43" s="280" t="s">
        <v>197</v>
      </c>
      <c r="I43" s="275">
        <v>244.75290000000001</v>
      </c>
      <c r="J43" s="51">
        <f>SUM(J2:J35)</f>
        <v>97110.135759903016</v>
      </c>
      <c r="K43" s="57">
        <f>MAX(K2:K35)</f>
        <v>2072.7144089400003</v>
      </c>
      <c r="L43" s="72">
        <f>COUNTIF(L$2:L$35,L42)</f>
        <v>2</v>
      </c>
      <c r="M43" s="72">
        <f>COUNTIF(M$2:M$35,M42)</f>
        <v>2</v>
      </c>
      <c r="N43" s="85"/>
      <c r="O43" s="15"/>
      <c r="P43" s="87">
        <f>MAX(P$2:P$35)</f>
        <v>51.5</v>
      </c>
      <c r="Q43" s="84"/>
      <c r="R43" s="74"/>
      <c r="S43" s="90">
        <f>MAX(S$2:S$35)</f>
        <v>70</v>
      </c>
      <c r="T43" s="15"/>
      <c r="W43" s="15"/>
      <c r="X43" s="74"/>
      <c r="Y43" s="74"/>
      <c r="Z43" s="102">
        <v>26986.14</v>
      </c>
      <c r="AA43" s="117"/>
      <c r="AB43" s="74"/>
      <c r="AD43" s="340"/>
      <c r="AE43" s="194">
        <f>MAX(AE$2:AE$35)</f>
        <v>5.0798999999999808</v>
      </c>
    </row>
    <row r="44" spans="1:31" s="27" customFormat="1" ht="13.5" x14ac:dyDescent="0.3">
      <c r="A44" s="195"/>
      <c r="C44" s="15"/>
      <c r="D44" s="15"/>
      <c r="E44" s="15"/>
      <c r="F44" s="15"/>
      <c r="G44" s="29"/>
      <c r="H44" s="42"/>
      <c r="I44" s="42"/>
      <c r="J44" s="52" t="s">
        <v>114</v>
      </c>
      <c r="K44" s="58" t="s">
        <v>87</v>
      </c>
      <c r="L44" s="71" t="s">
        <v>134</v>
      </c>
      <c r="M44" s="71" t="s">
        <v>138</v>
      </c>
      <c r="N44" s="85"/>
      <c r="O44" s="15"/>
      <c r="P44" s="86" t="s">
        <v>101</v>
      </c>
      <c r="Q44" s="84"/>
      <c r="R44" s="74"/>
      <c r="S44" s="89" t="s">
        <v>101</v>
      </c>
      <c r="T44" s="15"/>
      <c r="W44" s="339"/>
      <c r="X44" s="74"/>
      <c r="Y44" s="74"/>
      <c r="Z44" s="100" t="s">
        <v>103</v>
      </c>
      <c r="AA44" s="117"/>
      <c r="AB44" s="74"/>
      <c r="AD44" s="340"/>
      <c r="AE44" s="192" t="s">
        <v>101</v>
      </c>
    </row>
    <row r="45" spans="1:31" s="27" customFormat="1" ht="13.5" x14ac:dyDescent="0.3">
      <c r="A45" s="195"/>
      <c r="C45" s="15"/>
      <c r="D45" s="15"/>
      <c r="E45" s="15"/>
      <c r="F45" s="15"/>
      <c r="G45" s="29"/>
      <c r="H45" s="42"/>
      <c r="I45" s="42"/>
      <c r="J45" s="51">
        <f>J43*2</f>
        <v>194220.27151980603</v>
      </c>
      <c r="K45" s="57">
        <f>MIN(K2:K35)</f>
        <v>44.614374454999997</v>
      </c>
      <c r="L45" s="72">
        <f>COUNTIF(L$2:L$35,L44)-L43</f>
        <v>2</v>
      </c>
      <c r="M45" s="72">
        <f>COUNTIF(M$2:M$35,M44)-M43</f>
        <v>2</v>
      </c>
      <c r="N45" s="85"/>
      <c r="O45" s="15"/>
      <c r="P45" s="88">
        <f>MIN(P$2:P$35)</f>
        <v>30</v>
      </c>
      <c r="Q45" s="84"/>
      <c r="R45" s="74"/>
      <c r="S45" s="360">
        <f>MIN(S$2:S$35)</f>
        <v>18.561187916026626</v>
      </c>
      <c r="T45" s="15"/>
      <c r="W45" s="15"/>
      <c r="X45" s="74"/>
      <c r="Y45" s="74"/>
      <c r="Z45" s="103">
        <f>Z41/Z43</f>
        <v>0.30149674363704232</v>
      </c>
      <c r="AA45" s="341"/>
      <c r="AB45" s="74"/>
      <c r="AD45" s="342"/>
      <c r="AE45" s="194">
        <f>MIN(AE$2:AE$35)</f>
        <v>-4.05600000000004</v>
      </c>
    </row>
    <row r="46" spans="1:31" s="27" customFormat="1" ht="13.5" x14ac:dyDescent="0.3">
      <c r="A46" s="195"/>
      <c r="C46" s="15"/>
      <c r="D46" s="15"/>
      <c r="E46" s="15"/>
      <c r="F46" s="15"/>
      <c r="G46" s="29"/>
      <c r="H46" s="343"/>
      <c r="L46" s="71" t="s">
        <v>135</v>
      </c>
      <c r="M46" s="71" t="s">
        <v>96</v>
      </c>
      <c r="N46" s="15"/>
      <c r="O46" s="15"/>
      <c r="Q46" s="74"/>
      <c r="R46" s="74"/>
      <c r="T46" s="15"/>
      <c r="W46" s="339"/>
      <c r="X46" s="74"/>
      <c r="Y46" s="74"/>
      <c r="Z46" s="100" t="s">
        <v>106</v>
      </c>
      <c r="AA46" s="117"/>
      <c r="AB46" s="74"/>
      <c r="AD46" s="340"/>
      <c r="AE46" s="196"/>
    </row>
    <row r="47" spans="1:31" s="27" customFormat="1" ht="13.5" x14ac:dyDescent="0.3">
      <c r="A47" s="195"/>
      <c r="C47" s="15"/>
      <c r="D47" s="15"/>
      <c r="E47" s="15"/>
      <c r="F47" s="15"/>
      <c r="G47" s="29"/>
      <c r="H47" s="42"/>
      <c r="I47" s="42"/>
      <c r="L47" s="72">
        <f>COUNTIF(L$2:L$35,L46)-L43-L45</f>
        <v>1</v>
      </c>
      <c r="M47" s="72">
        <f>COUNTIF(M$2:M$35,M46)-M43-M45</f>
        <v>5</v>
      </c>
      <c r="N47" s="15"/>
      <c r="O47" s="15"/>
      <c r="Q47" s="74"/>
      <c r="R47" s="74"/>
      <c r="T47" s="15"/>
      <c r="W47" s="15"/>
      <c r="X47" s="74"/>
      <c r="Y47" s="74"/>
      <c r="Z47" s="104">
        <f>J45/Z45</f>
        <v>644186.96260818874</v>
      </c>
      <c r="AA47" s="344"/>
      <c r="AB47" s="74"/>
      <c r="AD47" s="345"/>
      <c r="AE47" s="197"/>
    </row>
    <row r="48" spans="1:31" s="27" customFormat="1" ht="13.5" x14ac:dyDescent="0.3">
      <c r="A48" s="195"/>
      <c r="C48" s="15"/>
      <c r="D48" s="15"/>
      <c r="E48" s="15"/>
      <c r="F48" s="15"/>
      <c r="G48" s="29"/>
      <c r="H48" s="42"/>
      <c r="I48" s="42"/>
      <c r="J48" s="42"/>
      <c r="K48" s="41"/>
      <c r="L48" s="71" t="s">
        <v>136</v>
      </c>
      <c r="M48" s="71" t="s">
        <v>137</v>
      </c>
      <c r="N48" s="15"/>
      <c r="O48" s="15"/>
      <c r="Q48" s="74"/>
      <c r="R48" s="74"/>
      <c r="S48" s="15"/>
      <c r="T48" s="15"/>
      <c r="W48" s="339"/>
      <c r="X48" s="74"/>
      <c r="Y48" s="74"/>
      <c r="Z48" s="105"/>
      <c r="AA48" s="105"/>
      <c r="AB48" s="74"/>
      <c r="AD48" s="151"/>
      <c r="AE48" s="198"/>
    </row>
    <row r="49" spans="1:31" s="27" customFormat="1" ht="13.5" x14ac:dyDescent="0.3">
      <c r="A49" s="195"/>
      <c r="C49" s="15"/>
      <c r="D49" s="15"/>
      <c r="E49" s="15"/>
      <c r="F49" s="15"/>
      <c r="G49" s="29"/>
      <c r="H49" s="42"/>
      <c r="I49" s="42"/>
      <c r="J49" s="42"/>
      <c r="K49" s="41"/>
      <c r="L49" s="72">
        <f>COUNTIF(L$2:L$35,L48)-L43-L45-L47</f>
        <v>6</v>
      </c>
      <c r="M49" s="72">
        <f>COUNTIF(M$2:M$35,M48)-M43-M45-M47</f>
        <v>7</v>
      </c>
      <c r="N49" s="15"/>
      <c r="O49" s="15"/>
      <c r="Q49" s="74"/>
      <c r="R49" s="74"/>
      <c r="S49" s="15"/>
      <c r="T49" s="15"/>
      <c r="W49" s="15"/>
      <c r="X49" s="74"/>
      <c r="Y49" s="74"/>
      <c r="Z49" s="105"/>
      <c r="AA49" s="105"/>
      <c r="AB49" s="74"/>
      <c r="AD49" s="151"/>
      <c r="AE49" s="198"/>
    </row>
    <row r="50" spans="1:31" s="27" customFormat="1" ht="13.5" x14ac:dyDescent="0.3">
      <c r="A50" s="195"/>
      <c r="C50" s="15"/>
      <c r="D50" s="15"/>
      <c r="E50" s="15"/>
      <c r="F50" s="15"/>
      <c r="G50" s="29"/>
      <c r="H50" s="42"/>
      <c r="I50" s="42"/>
      <c r="J50" s="42"/>
      <c r="K50" s="41"/>
      <c r="L50" s="71" t="s">
        <v>97</v>
      </c>
      <c r="M50" s="71" t="s">
        <v>97</v>
      </c>
      <c r="N50" s="15"/>
      <c r="O50" s="15"/>
      <c r="P50" s="15"/>
      <c r="Q50" s="74"/>
      <c r="R50" s="74"/>
      <c r="S50" s="15"/>
      <c r="T50" s="15"/>
      <c r="W50" s="39"/>
      <c r="X50" s="53"/>
      <c r="Y50" s="53"/>
      <c r="Z50" s="105"/>
      <c r="AA50" s="105"/>
      <c r="AB50" s="74"/>
      <c r="AD50" s="151"/>
      <c r="AE50" s="198"/>
    </row>
    <row r="51" spans="1:31" s="27" customFormat="1" ht="13.5" x14ac:dyDescent="0.3">
      <c r="A51" s="195"/>
      <c r="C51" s="15"/>
      <c r="D51" s="15"/>
      <c r="E51" s="15"/>
      <c r="F51" s="15"/>
      <c r="G51" s="29"/>
      <c r="H51" s="42"/>
      <c r="I51" s="42"/>
      <c r="J51" s="42"/>
      <c r="K51" s="41"/>
      <c r="L51" s="72">
        <f>COUNTIF(L$2:L$35,L50)-L43-L45-L47-L49</f>
        <v>8</v>
      </c>
      <c r="M51" s="72">
        <f>COUNTIF(M$2:M$35,M50)-M43-M45-M47-M49</f>
        <v>6</v>
      </c>
      <c r="N51" s="15"/>
      <c r="O51" s="15"/>
      <c r="P51" s="15"/>
      <c r="Q51" s="74"/>
      <c r="R51" s="74"/>
      <c r="S51" s="15"/>
      <c r="T51" s="15"/>
      <c r="W51" s="15"/>
      <c r="X51" s="74"/>
      <c r="Y51" s="74"/>
      <c r="Z51" s="105"/>
      <c r="AA51" s="105"/>
      <c r="AB51" s="74"/>
      <c r="AD51" s="151"/>
      <c r="AE51" s="198"/>
    </row>
    <row r="52" spans="1:31" s="27" customFormat="1" ht="13.5" x14ac:dyDescent="0.3">
      <c r="A52" s="195"/>
      <c r="C52" s="15"/>
      <c r="D52" s="15"/>
      <c r="E52" s="15"/>
      <c r="F52" s="15"/>
      <c r="G52" s="29"/>
      <c r="H52" s="42"/>
      <c r="I52" s="42"/>
      <c r="J52" s="42"/>
      <c r="K52" s="41"/>
      <c r="L52" s="71" t="s">
        <v>98</v>
      </c>
      <c r="M52" s="71" t="s">
        <v>98</v>
      </c>
      <c r="N52" s="15"/>
      <c r="O52" s="15"/>
      <c r="P52" s="15"/>
      <c r="Q52" s="74"/>
      <c r="R52" s="74"/>
      <c r="S52" s="15"/>
      <c r="T52" s="15"/>
      <c r="W52" s="346"/>
      <c r="X52" s="74"/>
      <c r="Y52" s="74"/>
      <c r="Z52" s="105"/>
      <c r="AA52" s="105"/>
      <c r="AB52" s="74"/>
      <c r="AD52" s="151"/>
      <c r="AE52" s="198"/>
    </row>
    <row r="53" spans="1:31" s="27" customFormat="1" ht="13.5" x14ac:dyDescent="0.3">
      <c r="A53" s="195"/>
      <c r="C53" s="15"/>
      <c r="D53" s="15"/>
      <c r="E53" s="15"/>
      <c r="F53" s="15"/>
      <c r="G53" s="29"/>
      <c r="H53" s="42"/>
      <c r="I53" s="42"/>
      <c r="J53" s="42"/>
      <c r="K53" s="41"/>
      <c r="L53" s="72">
        <f>COUNTIF(L$2:L$35,L52)-L43-L45-L47-L49-L51</f>
        <v>15</v>
      </c>
      <c r="M53" s="72">
        <f>COUNTIF(M$2:M$35,M52)-M43-M45-M47-M49-M51</f>
        <v>12</v>
      </c>
      <c r="N53" s="15"/>
      <c r="O53" s="15"/>
      <c r="P53" s="15"/>
      <c r="Q53" s="74"/>
      <c r="R53" s="74"/>
      <c r="S53" s="15"/>
      <c r="T53" s="15"/>
      <c r="W53" s="15"/>
      <c r="X53" s="74"/>
      <c r="Y53" s="74"/>
      <c r="Z53" s="105"/>
      <c r="AA53" s="105"/>
      <c r="AB53" s="74"/>
      <c r="AD53" s="151"/>
      <c r="AE53" s="198"/>
    </row>
    <row r="54" spans="1:31" s="27" customFormat="1" ht="14" thickBot="1" x14ac:dyDescent="0.35">
      <c r="A54" s="199"/>
      <c r="B54" s="200"/>
      <c r="C54" s="201"/>
      <c r="D54" s="201"/>
      <c r="E54" s="201"/>
      <c r="F54" s="201"/>
      <c r="G54" s="202"/>
      <c r="H54" s="203"/>
      <c r="I54" s="203"/>
      <c r="J54" s="203"/>
      <c r="K54" s="204"/>
      <c r="L54" s="204" t="str">
        <f>IF((L43+L45+L47+L49+L51+L53)=L38,"✓","NON")</f>
        <v>✓</v>
      </c>
      <c r="M54" s="204" t="str">
        <f>IF((M43+M45+M47+M49+M51+M53)=M38,"✓","NON")</f>
        <v>✓</v>
      </c>
      <c r="N54" s="201"/>
      <c r="O54" s="201"/>
      <c r="P54" s="201"/>
      <c r="Q54" s="205"/>
      <c r="R54" s="205"/>
      <c r="S54" s="201"/>
      <c r="T54" s="201"/>
      <c r="U54" s="200"/>
      <c r="V54" s="200"/>
      <c r="W54" s="201"/>
      <c r="X54" s="205"/>
      <c r="Y54" s="205"/>
      <c r="Z54" s="206"/>
      <c r="AA54" s="206"/>
      <c r="AB54" s="205"/>
      <c r="AC54" s="200"/>
      <c r="AD54" s="207"/>
      <c r="AE54" s="208"/>
    </row>
    <row r="55" spans="1:31" s="27" customFormat="1" ht="15.5" thickTop="1" x14ac:dyDescent="0.3">
      <c r="A55" s="15"/>
      <c r="C55" s="15"/>
      <c r="D55" s="39"/>
      <c r="E55" s="39"/>
      <c r="F55" s="39"/>
      <c r="G55" s="147"/>
      <c r="H55" s="42"/>
      <c r="I55" s="42"/>
      <c r="J55" s="42"/>
      <c r="K55" s="41"/>
      <c r="L55" s="117"/>
      <c r="M55" s="41"/>
      <c r="N55" s="39"/>
      <c r="O55" s="39"/>
      <c r="P55" s="2"/>
      <c r="Q55" s="53"/>
      <c r="R55" s="53"/>
      <c r="S55" s="2"/>
      <c r="T55" s="39"/>
      <c r="W55" s="39"/>
      <c r="X55" s="53"/>
      <c r="Y55" s="53"/>
      <c r="Z55" s="105"/>
      <c r="AA55" s="105"/>
      <c r="AB55" s="74"/>
      <c r="AD55" s="151"/>
      <c r="AE55" s="151"/>
    </row>
    <row r="56" spans="1:31" s="27" customFormat="1" x14ac:dyDescent="0.3">
      <c r="A56" s="15"/>
      <c r="C56" s="15"/>
      <c r="D56" s="39"/>
      <c r="E56" s="39"/>
      <c r="F56" s="39"/>
      <c r="G56" s="147"/>
      <c r="H56" s="42"/>
      <c r="I56" s="42"/>
      <c r="J56" s="42"/>
      <c r="K56" s="41"/>
      <c r="L56" s="41"/>
      <c r="M56" s="41"/>
      <c r="N56" s="39"/>
      <c r="O56" s="39"/>
      <c r="P56" s="2"/>
      <c r="Q56" s="53"/>
      <c r="R56" s="53"/>
      <c r="S56" s="2"/>
      <c r="T56" s="39"/>
      <c r="W56" s="39"/>
      <c r="X56" s="53"/>
      <c r="Y56" s="53"/>
      <c r="Z56" s="105"/>
      <c r="AA56" s="105"/>
      <c r="AB56" s="74"/>
      <c r="AD56" s="151"/>
      <c r="AE56" s="151"/>
    </row>
    <row r="57" spans="1:31" s="27" customFormat="1" x14ac:dyDescent="0.3">
      <c r="A57" s="15"/>
      <c r="C57" s="15"/>
      <c r="D57" s="39"/>
      <c r="E57" s="39"/>
      <c r="F57" s="39"/>
      <c r="G57" s="147"/>
      <c r="H57" s="42"/>
      <c r="I57" s="42"/>
      <c r="J57" s="42"/>
      <c r="K57" s="41"/>
      <c r="L57" s="41"/>
      <c r="M57" s="41"/>
      <c r="N57" s="39"/>
      <c r="O57" s="39"/>
      <c r="P57" s="2"/>
      <c r="Q57" s="53"/>
      <c r="R57" s="53"/>
      <c r="S57" s="2"/>
      <c r="T57" s="39"/>
      <c r="W57" s="39"/>
      <c r="X57" s="53"/>
      <c r="Y57" s="53"/>
      <c r="Z57" s="105"/>
      <c r="AA57" s="105"/>
      <c r="AB57" s="74"/>
      <c r="AD57" s="151"/>
      <c r="AE57" s="151"/>
    </row>
    <row r="59" spans="1:31" x14ac:dyDescent="0.3">
      <c r="B59" s="27"/>
      <c r="C59" s="15"/>
    </row>
    <row r="61" spans="1:31" x14ac:dyDescent="0.3">
      <c r="B61" s="27"/>
      <c r="C61" s="15"/>
    </row>
    <row r="63" spans="1:31" x14ac:dyDescent="0.3">
      <c r="B63" s="27"/>
      <c r="C63" s="15"/>
    </row>
    <row r="65" spans="2:3" x14ac:dyDescent="0.3">
      <c r="B65" s="27"/>
      <c r="C65" s="15"/>
    </row>
    <row r="66" spans="2:3" x14ac:dyDescent="0.3">
      <c r="B66" s="27"/>
      <c r="C66" s="15"/>
    </row>
  </sheetData>
  <sortState xmlns:xlrd2="http://schemas.microsoft.com/office/spreadsheetml/2017/richdata2" ref="A2:AC35">
    <sortCondition ref="B2:B35"/>
    <sortCondition descending="1" ref="K2:K35"/>
  </sortState>
  <mergeCells count="20">
    <mergeCell ref="C34:C35"/>
    <mergeCell ref="C2:C3"/>
    <mergeCell ref="C6:C7"/>
    <mergeCell ref="C8:C12"/>
    <mergeCell ref="C22:C23"/>
    <mergeCell ref="C24:C31"/>
    <mergeCell ref="I8:I12"/>
    <mergeCell ref="J2:J3"/>
    <mergeCell ref="J6:J7"/>
    <mergeCell ref="J8:J12"/>
    <mergeCell ref="I34:I35"/>
    <mergeCell ref="J34:J35"/>
    <mergeCell ref="I18:I19"/>
    <mergeCell ref="J18:J19"/>
    <mergeCell ref="I22:I23"/>
    <mergeCell ref="J22:J23"/>
    <mergeCell ref="I24:I31"/>
    <mergeCell ref="J24:J31"/>
    <mergeCell ref="I2:I3"/>
    <mergeCell ref="I6:I7"/>
  </mergeCells>
  <hyperlinks>
    <hyperlink ref="AC41" r:id="rId1" xr:uid="{FCC23B18-CB2B-4E2E-A613-0FBD1B52CE7E}"/>
  </hyperlinks>
  <printOptions horizontalCentered="1"/>
  <pageMargins left="0.25" right="0.25" top="0.75" bottom="0.75" header="0.3" footer="0.3"/>
  <pageSetup paperSize="8" scale="70" orientation="landscape" r:id="rId2"/>
  <ignoredErrors>
    <ignoredError sqref="C19 C2 C6 C8 C22 C34 C24" formulaRange="1"/>
    <ignoredError sqref="I41 I3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F6E53-5AB0-4D84-9BD4-BA33457DB973}">
  <dimension ref="A1:C38"/>
  <sheetViews>
    <sheetView showGridLines="0" workbookViewId="0">
      <selection activeCell="F14" sqref="F14"/>
    </sheetView>
  </sheetViews>
  <sheetFormatPr baseColWidth="10" defaultRowHeight="15" x14ac:dyDescent="0.3"/>
  <cols>
    <col min="1" max="1" width="4.33203125" style="2" bestFit="1" customWidth="1"/>
    <col min="2" max="2" width="24.19921875" bestFit="1" customWidth="1"/>
  </cols>
  <sheetData>
    <row r="1" spans="1:3" s="78" customFormat="1" ht="15.5" thickTop="1" x14ac:dyDescent="0.3">
      <c r="A1" s="159" t="str">
        <f>Compilation!T1</f>
        <v>pdf</v>
      </c>
      <c r="B1" s="258" t="str">
        <f>Compilation!V1</f>
        <v>Ao</v>
      </c>
      <c r="C1" s="160" t="str">
        <f>Compilation!U1</f>
        <v>Acheteur</v>
      </c>
    </row>
    <row r="2" spans="1:3" x14ac:dyDescent="0.3">
      <c r="A2" s="161">
        <f>Compilation!T33</f>
        <v>4</v>
      </c>
      <c r="B2" s="143" t="str">
        <f>Compilation!V33</f>
        <v>Saucière (2)</v>
      </c>
      <c r="C2" s="162" t="str">
        <f>Compilation!U33</f>
        <v>Foucher</v>
      </c>
    </row>
    <row r="3" spans="1:3" x14ac:dyDescent="0.3">
      <c r="A3" s="161">
        <f>Compilation!T20</f>
        <v>5</v>
      </c>
      <c r="B3" s="143" t="str">
        <f>Compilation!V20</f>
        <v>Huilier (1)</v>
      </c>
      <c r="C3" s="162" t="str">
        <f>Compilation!U20</f>
        <v>Senneville</v>
      </c>
    </row>
    <row r="4" spans="1:3" x14ac:dyDescent="0.3">
      <c r="A4" s="161">
        <f>Compilation!T22</f>
        <v>5</v>
      </c>
      <c r="B4" s="143" t="str">
        <f>Compilation!V22</f>
        <v>Jatte (2)</v>
      </c>
      <c r="C4" s="162" t="str">
        <f>Compilation!U22</f>
        <v>Lusignan</v>
      </c>
    </row>
    <row r="5" spans="1:3" x14ac:dyDescent="0.3">
      <c r="A5" s="161">
        <f>Compilation!T18</f>
        <v>10</v>
      </c>
      <c r="B5" s="143" t="str">
        <f>Compilation!V18</f>
        <v>Flambeau (2)</v>
      </c>
      <c r="C5" s="162" t="str">
        <f>Compilation!U18</f>
        <v>Fleury</v>
      </c>
    </row>
    <row r="6" spans="1:3" x14ac:dyDescent="0.3">
      <c r="A6" s="161">
        <f>Compilation!T23</f>
        <v>10</v>
      </c>
      <c r="B6" s="143" t="str">
        <f>Compilation!V23</f>
        <v>Jatte (2)</v>
      </c>
      <c r="C6" s="162" t="str">
        <f>Compilation!U23</f>
        <v>Dumont</v>
      </c>
    </row>
    <row r="7" spans="1:3" x14ac:dyDescent="0.3">
      <c r="A7" s="161">
        <f>Compilation!T5</f>
        <v>11</v>
      </c>
      <c r="B7" s="143" t="str">
        <f>Compilation!V5</f>
        <v>Coquetier (1)</v>
      </c>
      <c r="C7" s="162" t="str">
        <f>Compilation!U5</f>
        <v>Walon</v>
      </c>
    </row>
    <row r="8" spans="1:3" x14ac:dyDescent="0.3">
      <c r="A8" s="161">
        <f>Compilation!T11</f>
        <v>17</v>
      </c>
      <c r="B8" s="143" t="str">
        <f>Compilation!V11</f>
        <v>Cuiller Fourchette (6+6) (12)</v>
      </c>
      <c r="C8" s="162" t="str">
        <f>Compilation!U11</f>
        <v>Nicolet</v>
      </c>
    </row>
    <row r="9" spans="1:3" x14ac:dyDescent="0.3">
      <c r="A9" s="161">
        <f>Compilation!T16</f>
        <v>17</v>
      </c>
      <c r="B9" s="143" t="str">
        <f>Compilation!V16</f>
        <v>Cuiller à potage (1)</v>
      </c>
      <c r="C9" s="162" t="str">
        <f>Compilation!U16</f>
        <v>Francheville</v>
      </c>
    </row>
    <row r="10" spans="1:3" x14ac:dyDescent="0.3">
      <c r="A10" s="161">
        <f>Compilation!T17</f>
        <v>17</v>
      </c>
      <c r="B10" s="143" t="str">
        <f>Compilation!V17</f>
        <v>Cuiller à ragoût (2)</v>
      </c>
      <c r="C10" s="162" t="str">
        <f>Compilation!U17</f>
        <v>Foucher</v>
      </c>
    </row>
    <row r="11" spans="1:3" x14ac:dyDescent="0.3">
      <c r="A11" s="161">
        <f>Compilation!T29</f>
        <v>17</v>
      </c>
      <c r="B11" s="143" t="str">
        <f>Compilation!V29</f>
        <v>Plat (4)</v>
      </c>
      <c r="C11" s="162" t="str">
        <f>Compilation!U29</f>
        <v>Foucher</v>
      </c>
    </row>
    <row r="12" spans="1:3" x14ac:dyDescent="0.3">
      <c r="A12" s="161">
        <f>Compilation!T35</f>
        <v>17</v>
      </c>
      <c r="B12" s="143" t="str">
        <f>Compilation!V35</f>
        <v>Sucrier (1)</v>
      </c>
      <c r="C12" s="162" t="str">
        <f>Compilation!U35</f>
        <v>Lacorne</v>
      </c>
    </row>
    <row r="13" spans="1:3" x14ac:dyDescent="0.3">
      <c r="A13" s="161">
        <f>Compilation!T8</f>
        <v>18</v>
      </c>
      <c r="B13" s="143" t="str">
        <f>Compilation!V8</f>
        <v>Cuiller Fourchette (6+6) (12)</v>
      </c>
      <c r="C13" s="162" t="str">
        <f>Compilation!U8</f>
        <v>Buron</v>
      </c>
    </row>
    <row r="14" spans="1:3" x14ac:dyDescent="0.3">
      <c r="A14" s="161">
        <f>Compilation!T19</f>
        <v>19</v>
      </c>
      <c r="B14" s="143" t="str">
        <f>Compilation!V19</f>
        <v>Flambeau (2)</v>
      </c>
      <c r="C14" s="162" t="str">
        <f>Compilation!U19</f>
        <v>Walon</v>
      </c>
    </row>
    <row r="15" spans="1:3" x14ac:dyDescent="0.3">
      <c r="A15" s="161">
        <f>Compilation!T3</f>
        <v>20</v>
      </c>
      <c r="B15" s="143" t="str">
        <f>Compilation!V3</f>
        <v>Aiguière (1)</v>
      </c>
      <c r="C15" s="162" t="str">
        <f>Compilation!U3</f>
        <v>Charest</v>
      </c>
    </row>
    <row r="16" spans="1:3" x14ac:dyDescent="0.3">
      <c r="A16" s="161">
        <f>Compilation!T4</f>
        <v>20</v>
      </c>
      <c r="B16" s="143" t="str">
        <f>Compilation!V4</f>
        <v>Cafetière (1)</v>
      </c>
      <c r="C16" s="162" t="str">
        <f>Compilation!U4</f>
        <v>Dupont</v>
      </c>
    </row>
    <row r="17" spans="1:3" x14ac:dyDescent="0.3">
      <c r="A17" s="161">
        <f>Compilation!T14</f>
        <v>20</v>
      </c>
      <c r="B17" s="143" t="str">
        <f>Compilation!V14</f>
        <v>Cuiller à olives (2)</v>
      </c>
      <c r="C17" s="162" t="str">
        <f>Compilation!U14</f>
        <v>Dupont</v>
      </c>
    </row>
    <row r="18" spans="1:3" x14ac:dyDescent="0.3">
      <c r="A18" s="161">
        <f>Compilation!T15</f>
        <v>20</v>
      </c>
      <c r="B18" s="143" t="str">
        <f>Compilation!V15</f>
        <v>Cuiller à pot (1)</v>
      </c>
      <c r="C18" s="162" t="str">
        <f>Compilation!U15</f>
        <v>Cugnet</v>
      </c>
    </row>
    <row r="19" spans="1:3" x14ac:dyDescent="0.3">
      <c r="A19" s="161">
        <f>Compilation!T25</f>
        <v>20</v>
      </c>
      <c r="B19" s="143" t="str">
        <f>Compilation!V25</f>
        <v>Plat (1)</v>
      </c>
      <c r="C19" s="162" t="str">
        <f>Compilation!U25</f>
        <v>Cugnet</v>
      </c>
    </row>
    <row r="20" spans="1:3" x14ac:dyDescent="0.3">
      <c r="A20" s="161">
        <f>Compilation!T30</f>
        <v>20</v>
      </c>
      <c r="B20" s="143" t="str">
        <f>Compilation!V30</f>
        <v>Plat ovale (2)</v>
      </c>
      <c r="C20" s="162" t="str">
        <f>Compilation!U30</f>
        <v>Cugnet</v>
      </c>
    </row>
    <row r="21" spans="1:3" x14ac:dyDescent="0.3">
      <c r="A21" s="161">
        <f>Compilation!T31</f>
        <v>20</v>
      </c>
      <c r="B21" s="143" t="str">
        <f>Compilation!V31</f>
        <v>Plat ovale (2)</v>
      </c>
      <c r="C21" s="162" t="str">
        <f>Compilation!U31</f>
        <v>Cugnet</v>
      </c>
    </row>
    <row r="22" spans="1:3" x14ac:dyDescent="0.3">
      <c r="A22" s="161">
        <f>Compilation!T10</f>
        <v>23</v>
      </c>
      <c r="B22" s="143" t="str">
        <f>Compilation!V10</f>
        <v>Cuiller Fourchette (6+6) (12)</v>
      </c>
      <c r="C22" s="162" t="str">
        <f>Compilation!U10</f>
        <v>Fournel</v>
      </c>
    </row>
    <row r="23" spans="1:3" x14ac:dyDescent="0.3">
      <c r="A23" s="161">
        <f>Compilation!T21</f>
        <v>23</v>
      </c>
      <c r="B23" s="143" t="str">
        <f>Compilation!V21</f>
        <v>Huilier (porte) (1)</v>
      </c>
      <c r="C23" s="162" t="str">
        <f>Compilation!U21</f>
        <v>Lestage</v>
      </c>
    </row>
    <row r="24" spans="1:3" x14ac:dyDescent="0.3">
      <c r="A24" s="161">
        <f>Compilation!T34</f>
        <v>23</v>
      </c>
      <c r="B24" s="143" t="str">
        <f>Compilation!V34</f>
        <v>Sucrier (1)</v>
      </c>
      <c r="C24" s="162" t="str">
        <f>Compilation!U34</f>
        <v>Charly</v>
      </c>
    </row>
    <row r="25" spans="1:3" x14ac:dyDescent="0.3">
      <c r="A25" s="161">
        <f>Compilation!T6</f>
        <v>24</v>
      </c>
      <c r="B25" s="143" t="str">
        <f>Compilation!V6</f>
        <v>Couteau (4)</v>
      </c>
      <c r="C25" s="162" t="str">
        <f>Compilation!U6</f>
        <v>Saint-Louis</v>
      </c>
    </row>
    <row r="26" spans="1:3" x14ac:dyDescent="0.3">
      <c r="A26" s="161">
        <f>Compilation!T7</f>
        <v>24</v>
      </c>
      <c r="B26" s="143" t="str">
        <f>Compilation!V7</f>
        <v>Couteau (6)</v>
      </c>
      <c r="C26" s="162" t="str">
        <f>Compilation!U7</f>
        <v>Foucault</v>
      </c>
    </row>
    <row r="27" spans="1:3" x14ac:dyDescent="0.3">
      <c r="A27" s="161">
        <f>Compilation!T9</f>
        <v>24</v>
      </c>
      <c r="B27" s="143" t="str">
        <f>Compilation!V9</f>
        <v>Cuiller Fourchette (2+2) (4)</v>
      </c>
      <c r="C27" s="162" t="str">
        <f>Compilation!U9</f>
        <v>Bailly</v>
      </c>
    </row>
    <row r="28" spans="1:3" x14ac:dyDescent="0.3">
      <c r="A28" s="161">
        <f>Compilation!T12</f>
        <v>24</v>
      </c>
      <c r="B28" s="143" t="str">
        <f>Compilation!V12</f>
        <v>Cuiller Fourchette (6+6) (12)</v>
      </c>
      <c r="C28" s="162" t="str">
        <f>Compilation!U12</f>
        <v>Walon</v>
      </c>
    </row>
    <row r="29" spans="1:3" x14ac:dyDescent="0.3">
      <c r="A29" s="161">
        <f>Compilation!T13</f>
        <v>24</v>
      </c>
      <c r="B29" s="143" t="str">
        <f>Compilation!V13</f>
        <v>Cuiller (3)</v>
      </c>
      <c r="C29" s="162" t="str">
        <f>Compilation!U13</f>
        <v>Deschaillons</v>
      </c>
    </row>
    <row r="30" spans="1:3" x14ac:dyDescent="0.3">
      <c r="A30" s="161">
        <f>Compilation!T24</f>
        <v>24</v>
      </c>
      <c r="B30" s="143" t="str">
        <f>Compilation!V24</f>
        <v>Plat (1)</v>
      </c>
      <c r="C30" s="162" t="str">
        <f>Compilation!U24</f>
        <v>Lamorille</v>
      </c>
    </row>
    <row r="31" spans="1:3" x14ac:dyDescent="0.3">
      <c r="A31" s="161">
        <f>Compilation!T32</f>
        <v>25</v>
      </c>
      <c r="B31" s="143" t="str">
        <f>Compilation!V32</f>
        <v>Salière (4)</v>
      </c>
      <c r="C31" s="162" t="str">
        <f>Compilation!U32</f>
        <v>Walon</v>
      </c>
    </row>
    <row r="32" spans="1:3" x14ac:dyDescent="0.3">
      <c r="A32" s="161">
        <f>Compilation!T26</f>
        <v>26</v>
      </c>
      <c r="B32" s="143" t="str">
        <f>Compilation!V26</f>
        <v>Plat (1)</v>
      </c>
      <c r="C32" s="162" t="str">
        <f>Compilation!U26</f>
        <v>Charly</v>
      </c>
    </row>
    <row r="33" spans="1:3" x14ac:dyDescent="0.3">
      <c r="A33" s="161">
        <f>Compilation!T27</f>
        <v>26</v>
      </c>
      <c r="B33" s="143" t="str">
        <f>Compilation!V27</f>
        <v>Plat (1)</v>
      </c>
      <c r="C33" s="162" t="str">
        <f>Compilation!U27</f>
        <v>Perthuis</v>
      </c>
    </row>
    <row r="34" spans="1:3" x14ac:dyDescent="0.3">
      <c r="A34" s="161">
        <f>Compilation!T28</f>
        <v>26</v>
      </c>
      <c r="B34" s="143" t="str">
        <f>Compilation!V28</f>
        <v>Plat (4)</v>
      </c>
      <c r="C34" s="162" t="str">
        <f>Compilation!U28</f>
        <v>Guillemin</v>
      </c>
    </row>
    <row r="35" spans="1:3" x14ac:dyDescent="0.3">
      <c r="A35" s="161">
        <f>Compilation!T2</f>
        <v>41</v>
      </c>
      <c r="B35" s="143" t="str">
        <f>Compilation!V2</f>
        <v>Aiguière (1)</v>
      </c>
      <c r="C35" s="162" t="str">
        <f>Compilation!U2</f>
        <v>Perthuis</v>
      </c>
    </row>
    <row r="36" spans="1:3" s="145" customFormat="1" ht="13.5" x14ac:dyDescent="0.3">
      <c r="A36" s="259">
        <f>Compilation!T38</f>
        <v>34</v>
      </c>
      <c r="B36" s="144">
        <f>Compilation!V38</f>
        <v>34</v>
      </c>
      <c r="C36" s="260">
        <f>Compilation!U38</f>
        <v>34</v>
      </c>
    </row>
    <row r="37" spans="1:3" ht="15.5" thickBot="1" x14ac:dyDescent="0.35">
      <c r="A37" s="261" t="str">
        <f>IF(COUNTA(A2:A35)=A36,"✓","NON")</f>
        <v>✓</v>
      </c>
      <c r="B37" s="262" t="str">
        <f t="shared" ref="B37:C37" si="0">IF(COUNTA(B2:B35)=B36,"✓","NON")</f>
        <v>✓</v>
      </c>
      <c r="C37" s="263" t="str">
        <f t="shared" si="0"/>
        <v>✓</v>
      </c>
    </row>
    <row r="38" spans="1:3" ht="15.5" thickTop="1" x14ac:dyDescent="0.3"/>
  </sheetData>
  <sortState xmlns:xlrd2="http://schemas.microsoft.com/office/spreadsheetml/2017/richdata2" ref="A2:C35">
    <sortCondition ref="A2:A35"/>
  </sortState>
  <printOptions horizontalCentered="1"/>
  <pageMargins left="0.23622047244094491" right="0.23622047244094491" top="0.74803149606299213" bottom="0.74803149606299213" header="0.31496062992125984" footer="0.31496062992125984"/>
  <pageSetup scale="11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F6EF-36DD-46A7-9170-AD224D4D42FC}">
  <dimension ref="A1:H48"/>
  <sheetViews>
    <sheetView showGridLines="0" workbookViewId="0">
      <selection activeCell="I5" sqref="I5"/>
    </sheetView>
  </sheetViews>
  <sheetFormatPr baseColWidth="10" defaultRowHeight="15" x14ac:dyDescent="0.3"/>
  <cols>
    <col min="1" max="1" width="3.1328125" style="14" bestFit="1" customWidth="1"/>
    <col min="2" max="2" width="4.86328125" style="289" bestFit="1" customWidth="1"/>
    <col min="3" max="3" width="5.59765625" style="154" bestFit="1" customWidth="1"/>
    <col min="4" max="4" width="5.33203125" style="2" bestFit="1" customWidth="1"/>
    <col min="5" max="5" width="6" style="2" bestFit="1" customWidth="1"/>
    <col min="6" max="7" width="6.86328125" style="154" bestFit="1" customWidth="1"/>
    <col min="8" max="8" width="24.19921875" bestFit="1" customWidth="1"/>
    <col min="9" max="16384" width="10.6640625" style="1"/>
  </cols>
  <sheetData>
    <row r="1" spans="1:8" s="271" customFormat="1" ht="15.5" thickTop="1" x14ac:dyDescent="0.3">
      <c r="A1" s="290"/>
      <c r="B1" s="285" t="s">
        <v>183</v>
      </c>
      <c r="C1" s="266" t="str">
        <f>Compilation!AE1</f>
        <v>#de</v>
      </c>
      <c r="D1" s="269" t="str">
        <f>Compilation!G1</f>
        <v>Md</v>
      </c>
      <c r="E1" s="270" t="str">
        <f>Compilation!S1</f>
        <v>Vd</v>
      </c>
      <c r="F1" s="267" t="str">
        <f>Compilation!Z1</f>
        <v>#d</v>
      </c>
      <c r="G1" s="268" t="str">
        <f>Compilation!AD1</f>
        <v>#dv</v>
      </c>
      <c r="H1" s="160" t="str">
        <f>Compilation!V1</f>
        <v>Ao</v>
      </c>
    </row>
    <row r="2" spans="1:8" x14ac:dyDescent="0.3">
      <c r="A2" s="391">
        <v>3</v>
      </c>
      <c r="B2" s="286" t="str">
        <f t="shared" ref="B2:B34" si="0">IF(C2="✓","✓",C2/F2)</f>
        <v>✓</v>
      </c>
      <c r="C2" s="155" t="str">
        <f>Compilation!AE4</f>
        <v>✓</v>
      </c>
      <c r="D2" s="128">
        <f>Compilation!G4</f>
        <v>1.5</v>
      </c>
      <c r="E2" s="45">
        <f>Compilation!S4</f>
        <v>70</v>
      </c>
      <c r="F2" s="156">
        <f>Compilation!Z4</f>
        <v>105</v>
      </c>
      <c r="G2" s="264">
        <f>Compilation!AD4</f>
        <v>105</v>
      </c>
      <c r="H2" s="162" t="str">
        <f>Compilation!V4</f>
        <v>Cafetière (1)</v>
      </c>
    </row>
    <row r="3" spans="1:8" x14ac:dyDescent="0.3">
      <c r="A3" s="392"/>
      <c r="B3" s="286" t="str">
        <f t="shared" si="0"/>
        <v>✓</v>
      </c>
      <c r="C3" s="155" t="str">
        <f>Compilation!AE15</f>
        <v>✓</v>
      </c>
      <c r="D3" s="128">
        <f>Compilation!G15</f>
        <v>1.375</v>
      </c>
      <c r="E3" s="45">
        <f>Compilation!S15</f>
        <v>53.5</v>
      </c>
      <c r="F3" s="156">
        <f>Compilation!Z15</f>
        <v>73.5625</v>
      </c>
      <c r="G3" s="264">
        <f>Compilation!AD15</f>
        <v>73.5625</v>
      </c>
      <c r="H3" s="162" t="str">
        <f>Compilation!V15</f>
        <v>Cuiller à pot (1)</v>
      </c>
    </row>
    <row r="4" spans="1:8" x14ac:dyDescent="0.3">
      <c r="A4" s="393"/>
      <c r="B4" s="286" t="str">
        <f t="shared" si="0"/>
        <v>✓</v>
      </c>
      <c r="C4" s="155" t="str">
        <f>Compilation!AE35</f>
        <v>✓</v>
      </c>
      <c r="D4" s="128">
        <f>Compilation!G35</f>
        <v>2.625</v>
      </c>
      <c r="E4" s="45">
        <f>Compilation!S35</f>
        <v>54.5</v>
      </c>
      <c r="F4" s="156">
        <f>Compilation!Z35</f>
        <v>143.0625</v>
      </c>
      <c r="G4" s="264">
        <f>Compilation!AD35</f>
        <v>143.0625</v>
      </c>
      <c r="H4" s="162" t="str">
        <f>Compilation!V35</f>
        <v>Sucrier (1)</v>
      </c>
    </row>
    <row r="5" spans="1:8" x14ac:dyDescent="0.3">
      <c r="A5" s="391">
        <v>2</v>
      </c>
      <c r="B5" s="286">
        <f t="shared" si="0"/>
        <v>2.025175661533854E-2</v>
      </c>
      <c r="C5" s="155">
        <f>Compilation!AE3</f>
        <v>5.0798999999999808</v>
      </c>
      <c r="D5" s="128">
        <f>Compilation!G3</f>
        <v>4.5936000000000003</v>
      </c>
      <c r="E5" s="45">
        <f>Compilation!S3</f>
        <v>53.5</v>
      </c>
      <c r="F5" s="156">
        <f>Compilation!Z3</f>
        <v>250.83750000000001</v>
      </c>
      <c r="G5" s="264">
        <f>Compilation!AD3</f>
        <v>245.75760000000002</v>
      </c>
      <c r="H5" s="162" t="str">
        <f>Compilation!V3</f>
        <v>Aiguière (1)</v>
      </c>
    </row>
    <row r="6" spans="1:8" x14ac:dyDescent="0.3">
      <c r="A6" s="393"/>
      <c r="B6" s="286">
        <f t="shared" si="0"/>
        <v>1.1307992202729168E-2</v>
      </c>
      <c r="C6" s="155">
        <f>Compilation!AE7</f>
        <v>0.87015000000000953</v>
      </c>
      <c r="D6" s="128">
        <f>Compilation!G7</f>
        <v>2.0701999999999998</v>
      </c>
      <c r="E6" s="45">
        <f>Compilation!S7</f>
        <v>36.75</v>
      </c>
      <c r="F6" s="156">
        <f>Compilation!Z7</f>
        <v>76.95</v>
      </c>
      <c r="G6" s="264">
        <f>Compilation!AD7</f>
        <v>76.079849999999993</v>
      </c>
      <c r="H6" s="162" t="str">
        <f>Compilation!V7</f>
        <v>Couteau (6)</v>
      </c>
    </row>
    <row r="7" spans="1:8" x14ac:dyDescent="0.3">
      <c r="A7" s="391">
        <v>25</v>
      </c>
      <c r="B7" s="286">
        <f t="shared" si="0"/>
        <v>1.6575645756458262E-3</v>
      </c>
      <c r="C7" s="155">
        <f>Compilation!AE16</f>
        <v>0.11230000000000473</v>
      </c>
      <c r="D7" s="128">
        <f>Compilation!G16</f>
        <v>1.1561999999999999</v>
      </c>
      <c r="E7" s="45">
        <f>Compilation!S16</f>
        <v>58.5</v>
      </c>
      <c r="F7" s="156">
        <f>Compilation!Z16</f>
        <v>67.75</v>
      </c>
      <c r="G7" s="264">
        <f>Compilation!AD16</f>
        <v>67.637699999999995</v>
      </c>
      <c r="H7" s="162" t="str">
        <f>Compilation!V16</f>
        <v>Cuiller à potage (1)</v>
      </c>
    </row>
    <row r="8" spans="1:8" x14ac:dyDescent="0.3">
      <c r="A8" s="392"/>
      <c r="B8" s="286">
        <f t="shared" si="0"/>
        <v>8.9969604863210243E-4</v>
      </c>
      <c r="C8" s="155">
        <f>Compilation!AE33</f>
        <v>0.16033333333331257</v>
      </c>
      <c r="D8" s="128">
        <f>Compilation!G33</f>
        <v>3.3279999999999998</v>
      </c>
      <c r="E8" s="45">
        <f>Compilation!S33</f>
        <v>53.5</v>
      </c>
      <c r="F8" s="156">
        <f>Compilation!Z33</f>
        <v>178.20833333333331</v>
      </c>
      <c r="G8" s="264">
        <f>Compilation!AD33</f>
        <v>178.048</v>
      </c>
      <c r="H8" s="162" t="str">
        <f>Compilation!V33</f>
        <v>Saucière (2)</v>
      </c>
    </row>
    <row r="9" spans="1:8" x14ac:dyDescent="0.3">
      <c r="A9" s="392"/>
      <c r="B9" s="286">
        <f t="shared" si="0"/>
        <v>1.378809869375272E-4</v>
      </c>
      <c r="C9" s="155">
        <f>Compilation!AE5</f>
        <v>3.1666666666652077E-3</v>
      </c>
      <c r="D9" s="128">
        <f>Compilation!G5</f>
        <v>0.43740000000000001</v>
      </c>
      <c r="E9" s="45">
        <f>Compilation!S5</f>
        <v>52.5</v>
      </c>
      <c r="F9" s="156">
        <f>Compilation!Z5</f>
        <v>22.966666666666665</v>
      </c>
      <c r="G9" s="264">
        <f>Compilation!AD5</f>
        <v>22.9635</v>
      </c>
      <c r="H9" s="162" t="str">
        <f>Compilation!V5</f>
        <v>Coquetier (1)</v>
      </c>
    </row>
    <row r="10" spans="1:8" x14ac:dyDescent="0.3">
      <c r="A10" s="392"/>
      <c r="B10" s="286">
        <f t="shared" si="0"/>
        <v>1.1500862564706407E-4</v>
      </c>
      <c r="C10" s="155">
        <f>Compilation!AE14</f>
        <v>6.6666666666748142E-3</v>
      </c>
      <c r="D10" s="128">
        <f>Compilation!G14</f>
        <v>0.82799999999999996</v>
      </c>
      <c r="E10" s="45">
        <f>Compilation!S14</f>
        <v>70</v>
      </c>
      <c r="F10" s="156">
        <f>Compilation!Z14</f>
        <v>57.966666666666669</v>
      </c>
      <c r="G10" s="264">
        <f>Compilation!AD14</f>
        <v>57.959999999999994</v>
      </c>
      <c r="H10" s="162" t="str">
        <f>Compilation!V14</f>
        <v>Cuiller à olives (2)</v>
      </c>
    </row>
    <row r="11" spans="1:8" x14ac:dyDescent="0.3">
      <c r="A11" s="392"/>
      <c r="B11" s="286">
        <f t="shared" si="0"/>
        <v>7.6190476190491973E-5</v>
      </c>
      <c r="C11" s="155">
        <f>Compilation!AE17</f>
        <v>5.6000000000011596E-3</v>
      </c>
      <c r="D11" s="128">
        <f>Compilation!G17</f>
        <v>1.3124</v>
      </c>
      <c r="E11" s="45">
        <f>Compilation!S17</f>
        <v>56</v>
      </c>
      <c r="F11" s="156">
        <f>Compilation!Z17</f>
        <v>73.5</v>
      </c>
      <c r="G11" s="264">
        <f>Compilation!AD17</f>
        <v>73.494399999999999</v>
      </c>
      <c r="H11" s="162" t="str">
        <f>Compilation!V17</f>
        <v>Cuiller à ragoût (2)</v>
      </c>
    </row>
    <row r="12" spans="1:8" x14ac:dyDescent="0.3">
      <c r="A12" s="392"/>
      <c r="B12" s="286">
        <f t="shared" si="0"/>
        <v>6.9320607811000593E-5</v>
      </c>
      <c r="C12" s="155">
        <f>Compilation!AE26</f>
        <v>2.7599999999949887E-2</v>
      </c>
      <c r="D12" s="128">
        <f>Compilation!G26</f>
        <v>7.6562000000000001</v>
      </c>
      <c r="E12" s="45">
        <f>Compilation!S26</f>
        <v>52</v>
      </c>
      <c r="F12" s="156">
        <f>Compilation!Z26</f>
        <v>398.15</v>
      </c>
      <c r="G12" s="264">
        <f>Compilation!AD26</f>
        <v>398.12240000000003</v>
      </c>
      <c r="H12" s="162" t="str">
        <f>Compilation!V26</f>
        <v>Plat (1)</v>
      </c>
    </row>
    <row r="13" spans="1:8" x14ac:dyDescent="0.3">
      <c r="A13" s="392"/>
      <c r="B13" s="286">
        <f t="shared" si="0"/>
        <v>5.5285424403828551E-5</v>
      </c>
      <c r="C13" s="155">
        <f>Compilation!AE12</f>
        <v>6.0166666666816582E-3</v>
      </c>
      <c r="D13" s="128">
        <f>Compilation!G12</f>
        <v>2.1873999999999998</v>
      </c>
      <c r="E13" s="45">
        <f>Compilation!S12</f>
        <v>49.75</v>
      </c>
      <c r="F13" s="156">
        <f>Compilation!Z12</f>
        <v>108.82916666666667</v>
      </c>
      <c r="G13" s="264">
        <f>Compilation!AD12</f>
        <v>108.82314999999998</v>
      </c>
      <c r="H13" s="162" t="str">
        <f>Compilation!V12</f>
        <v>Cuiller Fourchette (6+6) (12)</v>
      </c>
    </row>
    <row r="14" spans="1:8" x14ac:dyDescent="0.3">
      <c r="A14" s="392"/>
      <c r="B14" s="286">
        <f t="shared" si="0"/>
        <v>5.1996285979715598E-5</v>
      </c>
      <c r="C14" s="155">
        <f>Compilation!AE32</f>
        <v>8.4000000000230557E-3</v>
      </c>
      <c r="D14" s="128">
        <f>Compilation!G32</f>
        <v>3.0623999999999998</v>
      </c>
      <c r="E14" s="45">
        <f>Compilation!S32</f>
        <v>52.75</v>
      </c>
      <c r="F14" s="156">
        <f>Compilation!Z32</f>
        <v>161.55000000000001</v>
      </c>
      <c r="G14" s="264">
        <f>Compilation!AD32</f>
        <v>161.54159999999999</v>
      </c>
      <c r="H14" s="162" t="str">
        <f>Compilation!V32</f>
        <v>Salière (4)</v>
      </c>
    </row>
    <row r="15" spans="1:8" x14ac:dyDescent="0.3">
      <c r="A15" s="392"/>
      <c r="B15" s="286">
        <f t="shared" si="0"/>
        <v>3.1788079470095633E-5</v>
      </c>
      <c r="C15" s="155">
        <f>Compilation!AE2</f>
        <v>7.799999999974716E-3</v>
      </c>
      <c r="D15" s="128">
        <f>Compilation!G2</f>
        <v>4.7186000000000003</v>
      </c>
      <c r="E15" s="45">
        <f>Compilation!S2</f>
        <v>52</v>
      </c>
      <c r="F15" s="156">
        <f>Compilation!Z2</f>
        <v>245.375</v>
      </c>
      <c r="G15" s="264">
        <f>Compilation!AD2</f>
        <v>245.36720000000003</v>
      </c>
      <c r="H15" s="162" t="str">
        <f>Compilation!V2</f>
        <v>Aiguière (1)</v>
      </c>
    </row>
    <row r="16" spans="1:8" x14ac:dyDescent="0.3">
      <c r="A16" s="392"/>
      <c r="B16" s="286">
        <f t="shared" si="0"/>
        <v>1.975308641974833E-5</v>
      </c>
      <c r="C16" s="155">
        <f>Compilation!AE19</f>
        <v>6.7999999999983629E-3</v>
      </c>
      <c r="D16" s="128">
        <f>Compilation!G19</f>
        <v>5.0624000000000002</v>
      </c>
      <c r="E16" s="45">
        <f>Compilation!S19</f>
        <v>68</v>
      </c>
      <c r="F16" s="156">
        <f>Compilation!Z19</f>
        <v>344.25</v>
      </c>
      <c r="G16" s="264">
        <f>Compilation!AD19</f>
        <v>344.2432</v>
      </c>
      <c r="H16" s="162" t="str">
        <f>Compilation!V19</f>
        <v>Flambeau (2)</v>
      </c>
    </row>
    <row r="17" spans="1:8" x14ac:dyDescent="0.3">
      <c r="A17" s="392"/>
      <c r="B17" s="286">
        <f t="shared" si="0"/>
        <v>9.0395480227013216E-6</v>
      </c>
      <c r="C17" s="155">
        <f>Compilation!AE25</f>
        <v>3.9000000000442014E-3</v>
      </c>
      <c r="D17" s="128">
        <f>Compilation!G25</f>
        <v>8.2967999999999993</v>
      </c>
      <c r="E17" s="45">
        <f>Compilation!S25</f>
        <v>52</v>
      </c>
      <c r="F17" s="156">
        <f>Compilation!Z25</f>
        <v>431.4375</v>
      </c>
      <c r="G17" s="264">
        <f>Compilation!AD25</f>
        <v>431.43359999999996</v>
      </c>
      <c r="H17" s="162" t="str">
        <f>Compilation!V25</f>
        <v>Plat (1)</v>
      </c>
    </row>
    <row r="18" spans="1:8" x14ac:dyDescent="0.3">
      <c r="A18" s="392"/>
      <c r="B18" s="286">
        <f t="shared" si="0"/>
        <v>7.629704984752927E-6</v>
      </c>
      <c r="C18" s="155">
        <f>Compilation!AE29</f>
        <v>4.500000000007276E-3</v>
      </c>
      <c r="D18" s="128">
        <f>Compilation!G29</f>
        <v>11.2342</v>
      </c>
      <c r="E18" s="45">
        <f>Compilation!S29</f>
        <v>52.5</v>
      </c>
      <c r="F18" s="156">
        <f>Compilation!Z29</f>
        <v>589.79999999999995</v>
      </c>
      <c r="G18" s="264">
        <f>Compilation!AD29</f>
        <v>589.79549999999995</v>
      </c>
      <c r="H18" s="162" t="str">
        <f>Compilation!V29</f>
        <v>Plat (4)</v>
      </c>
    </row>
    <row r="19" spans="1:8" x14ac:dyDescent="0.3">
      <c r="A19" s="392"/>
      <c r="B19" s="286">
        <f t="shared" si="0"/>
        <v>-1.326919887255859E-6</v>
      </c>
      <c r="C19" s="155">
        <f>Compilation!AE30</f>
        <v>-6.0000000001991793E-4</v>
      </c>
      <c r="D19" s="128">
        <f>Compilation!G30</f>
        <v>8.2967999999999993</v>
      </c>
      <c r="E19" s="45">
        <f>Compilation!S30</f>
        <v>54.5</v>
      </c>
      <c r="F19" s="156">
        <f>Compilation!Z30</f>
        <v>452.17499999999995</v>
      </c>
      <c r="G19" s="264">
        <f>Compilation!AD30</f>
        <v>452.17559999999997</v>
      </c>
      <c r="H19" s="162" t="str">
        <f>Compilation!V30</f>
        <v>Plat ovale (2)</v>
      </c>
    </row>
    <row r="20" spans="1:8" x14ac:dyDescent="0.3">
      <c r="A20" s="392"/>
      <c r="B20" s="286">
        <f t="shared" si="0"/>
        <v>-1.326919887255859E-6</v>
      </c>
      <c r="C20" s="155">
        <f>Compilation!AE31</f>
        <v>-6.0000000001991793E-4</v>
      </c>
      <c r="D20" s="128">
        <f>Compilation!G31</f>
        <v>8.2967999999999993</v>
      </c>
      <c r="E20" s="45">
        <f>Compilation!S31</f>
        <v>54.5</v>
      </c>
      <c r="F20" s="156">
        <f>Compilation!Z31</f>
        <v>452.17499999999995</v>
      </c>
      <c r="G20" s="264">
        <f>Compilation!AD31</f>
        <v>452.17559999999997</v>
      </c>
      <c r="H20" s="162" t="str">
        <f>Compilation!V31</f>
        <v>Plat ovale (2)</v>
      </c>
    </row>
    <row r="21" spans="1:8" x14ac:dyDescent="0.3">
      <c r="A21" s="392"/>
      <c r="B21" s="286">
        <f t="shared" si="0"/>
        <v>-3.272318232824272E-6</v>
      </c>
      <c r="C21" s="155">
        <f>Compilation!AE11</f>
        <v>-7.9999999996971383E-4</v>
      </c>
      <c r="D21" s="128">
        <f>Compilation!G11</f>
        <v>4.0077999999999996</v>
      </c>
      <c r="E21" s="45">
        <f>Compilation!S11</f>
        <v>61</v>
      </c>
      <c r="F21" s="156">
        <f>Compilation!Z11</f>
        <v>244.47499999999999</v>
      </c>
      <c r="G21" s="264">
        <f>Compilation!AD11</f>
        <v>244.47579999999996</v>
      </c>
      <c r="H21" s="162" t="str">
        <f>Compilation!V11</f>
        <v>Cuiller Fourchette (6+6) (12)</v>
      </c>
    </row>
    <row r="22" spans="1:8" x14ac:dyDescent="0.3">
      <c r="A22" s="392"/>
      <c r="B22" s="286">
        <f t="shared" si="0"/>
        <v>-3.6754038108364731E-5</v>
      </c>
      <c r="C22" s="155">
        <f>Compilation!AE8</f>
        <v>-9.5000000000595719E-3</v>
      </c>
      <c r="D22" s="128">
        <f>Compilation!G8</f>
        <v>4.2030000000000003</v>
      </c>
      <c r="E22" s="45">
        <f>Compilation!S8</f>
        <v>61.5</v>
      </c>
      <c r="F22" s="156">
        <f>Compilation!Z8</f>
        <v>258.47499999999997</v>
      </c>
      <c r="G22" s="264">
        <f>Compilation!AD8</f>
        <v>258.48450000000003</v>
      </c>
      <c r="H22" s="162" t="str">
        <f>Compilation!V8</f>
        <v>Cuiller Fourchette (6+6) (12)</v>
      </c>
    </row>
    <row r="23" spans="1:8" x14ac:dyDescent="0.3">
      <c r="A23" s="392"/>
      <c r="B23" s="286">
        <f t="shared" si="0"/>
        <v>-3.9059838764624833E-5</v>
      </c>
      <c r="C23" s="155">
        <f>Compilation!AE24</f>
        <v>-1.7200000000002547E-2</v>
      </c>
      <c r="D23" s="128">
        <f>Compilation!G24</f>
        <v>8.4686000000000003</v>
      </c>
      <c r="E23" s="45">
        <f>Compilation!S24</f>
        <v>52</v>
      </c>
      <c r="F23" s="156">
        <f>Compilation!Z24</f>
        <v>440.35</v>
      </c>
      <c r="G23" s="264">
        <f>Compilation!AD24</f>
        <v>440.36720000000003</v>
      </c>
      <c r="H23" s="162" t="str">
        <f>Compilation!V24</f>
        <v>Plat (1)</v>
      </c>
    </row>
    <row r="24" spans="1:8" x14ac:dyDescent="0.3">
      <c r="A24" s="392"/>
      <c r="B24" s="286">
        <f t="shared" si="0"/>
        <v>-4.5043865392176365E-5</v>
      </c>
      <c r="C24" s="155">
        <f>Compilation!AE27</f>
        <v>-1.7200000000002547E-2</v>
      </c>
      <c r="D24" s="128">
        <f>Compilation!G27</f>
        <v>7.3436000000000003</v>
      </c>
      <c r="E24" s="45">
        <f>Compilation!S27</f>
        <v>52</v>
      </c>
      <c r="F24" s="156">
        <f>Compilation!Z27</f>
        <v>381.85</v>
      </c>
      <c r="G24" s="264">
        <f>Compilation!AD27</f>
        <v>381.86720000000003</v>
      </c>
      <c r="H24" s="162" t="str">
        <f>Compilation!V27</f>
        <v>Plat (1)</v>
      </c>
    </row>
    <row r="25" spans="1:8" x14ac:dyDescent="0.3">
      <c r="A25" s="392"/>
      <c r="B25" s="286">
        <f t="shared" si="0"/>
        <v>-1.116981132076086E-4</v>
      </c>
      <c r="C25" s="155">
        <f>Compilation!AE10</f>
        <v>-2.960000000001628E-2</v>
      </c>
      <c r="D25" s="128">
        <f>Compilation!G10</f>
        <v>4.0156000000000001</v>
      </c>
      <c r="E25" s="45">
        <f>Compilation!S10</f>
        <v>66</v>
      </c>
      <c r="F25" s="156">
        <f>Compilation!Z10</f>
        <v>265</v>
      </c>
      <c r="G25" s="264">
        <f>Compilation!AD10</f>
        <v>265.02960000000002</v>
      </c>
      <c r="H25" s="162" t="str">
        <f>Compilation!V10</f>
        <v>Cuiller Fourchette (6+6) (12)</v>
      </c>
    </row>
    <row r="26" spans="1:8" x14ac:dyDescent="0.3">
      <c r="A26" s="392"/>
      <c r="B26" s="286">
        <f t="shared" si="0"/>
        <v>-1.1397310234787182E-4</v>
      </c>
      <c r="C26" s="155">
        <f>Compilation!AE23</f>
        <v>-2.5000000000005684E-2</v>
      </c>
      <c r="D26" s="128">
        <f>Compilation!G23</f>
        <v>3.75</v>
      </c>
      <c r="E26" s="292">
        <f>Compilation!S23</f>
        <v>58.5</v>
      </c>
      <c r="F26" s="156">
        <f>Compilation!Z23</f>
        <v>219.35</v>
      </c>
      <c r="G26" s="264">
        <f>Compilation!AD23</f>
        <v>219.375</v>
      </c>
      <c r="H26" s="293" t="str">
        <f>Compilation!V23</f>
        <v>Jatte (2)</v>
      </c>
    </row>
    <row r="27" spans="1:8" x14ac:dyDescent="0.3">
      <c r="A27" s="392"/>
      <c r="B27" s="286">
        <f t="shared" si="0"/>
        <v>-1.1397310234787182E-4</v>
      </c>
      <c r="C27" s="155">
        <f>Compilation!AE22</f>
        <v>-2.5000000000005684E-2</v>
      </c>
      <c r="D27" s="128">
        <f>Compilation!G22</f>
        <v>3.75</v>
      </c>
      <c r="E27" s="45">
        <f>Compilation!S22</f>
        <v>58.5</v>
      </c>
      <c r="F27" s="156">
        <f>Compilation!Z22</f>
        <v>219.35</v>
      </c>
      <c r="G27" s="264">
        <f>Compilation!AD22</f>
        <v>219.375</v>
      </c>
      <c r="H27" s="162" t="str">
        <f>Compilation!V22</f>
        <v>Jatte (2)</v>
      </c>
    </row>
    <row r="28" spans="1:8" x14ac:dyDescent="0.3">
      <c r="A28" s="392"/>
      <c r="B28" s="286">
        <f t="shared" si="0"/>
        <v>-1.2540757461753543E-4</v>
      </c>
      <c r="C28" s="155">
        <f>Compilation!AE20</f>
        <v>-2.5000000000005684E-2</v>
      </c>
      <c r="D28" s="128">
        <f>Compilation!G20</f>
        <v>3.625</v>
      </c>
      <c r="E28" s="45">
        <f>Compilation!S20</f>
        <v>55</v>
      </c>
      <c r="F28" s="156">
        <f>Compilation!Z20</f>
        <v>199.35</v>
      </c>
      <c r="G28" s="264">
        <f>Compilation!AD20</f>
        <v>199.375</v>
      </c>
      <c r="H28" s="162" t="str">
        <f>Compilation!V20</f>
        <v>Huilier (1)</v>
      </c>
    </row>
    <row r="29" spans="1:8" x14ac:dyDescent="0.3">
      <c r="A29" s="392"/>
      <c r="B29" s="286">
        <f t="shared" si="0"/>
        <v>-1.3806087229381727E-4</v>
      </c>
      <c r="C29" s="155">
        <f>Compilation!AE34</f>
        <v>-2.2000000000019782E-2</v>
      </c>
      <c r="D29" s="128">
        <f>Compilation!G34</f>
        <v>2.6562000000000001</v>
      </c>
      <c r="E29" s="45">
        <f>Compilation!S34</f>
        <v>60</v>
      </c>
      <c r="F29" s="156">
        <f>Compilation!Z34</f>
        <v>159.35</v>
      </c>
      <c r="G29" s="264">
        <f>Compilation!AD34</f>
        <v>159.37200000000001</v>
      </c>
      <c r="H29" s="162" t="str">
        <f>Compilation!V34</f>
        <v>Sucrier (1)</v>
      </c>
    </row>
    <row r="30" spans="1:8" x14ac:dyDescent="0.3">
      <c r="A30" s="392"/>
      <c r="B30" s="286">
        <f t="shared" si="0"/>
        <v>-6.1576354679802956E-4</v>
      </c>
      <c r="C30" s="155">
        <f>Compilation!AE28</f>
        <v>-0.5</v>
      </c>
      <c r="D30" s="128">
        <f>Compilation!G28</f>
        <v>15.625</v>
      </c>
      <c r="E30" s="45">
        <f>Compilation!S28</f>
        <v>52</v>
      </c>
      <c r="F30" s="156">
        <f>Compilation!Z28</f>
        <v>812</v>
      </c>
      <c r="G30" s="264">
        <f>Compilation!AD28</f>
        <v>812.5</v>
      </c>
      <c r="H30" s="162" t="str">
        <f>Compilation!V28</f>
        <v>Plat (4)</v>
      </c>
    </row>
    <row r="31" spans="1:8" x14ac:dyDescent="0.3">
      <c r="A31" s="393"/>
      <c r="B31" s="286">
        <f t="shared" si="0"/>
        <v>-1.0302197802197802E-3</v>
      </c>
      <c r="C31" s="155">
        <f>Compilation!AE9</f>
        <v>-9.375E-2</v>
      </c>
      <c r="D31" s="128">
        <f>Compilation!G9</f>
        <v>1.375</v>
      </c>
      <c r="E31" s="45">
        <f>Compilation!S9</f>
        <v>66.25</v>
      </c>
      <c r="F31" s="291">
        <f>Compilation!Z9</f>
        <v>91</v>
      </c>
      <c r="G31" s="264">
        <f>Compilation!AD9</f>
        <v>91.09375</v>
      </c>
      <c r="H31" s="293" t="str">
        <f>Compilation!V9</f>
        <v>Cuiller Fourchette (2+2) (4)</v>
      </c>
    </row>
    <row r="32" spans="1:8" x14ac:dyDescent="0.3">
      <c r="A32" s="391">
        <v>3</v>
      </c>
      <c r="B32" s="286">
        <f t="shared" si="0"/>
        <v>-8.7163375224416847E-3</v>
      </c>
      <c r="C32" s="155">
        <f>Compilation!AE13</f>
        <v>-0.48550000000000182</v>
      </c>
      <c r="D32" s="128">
        <f>Compilation!G13</f>
        <v>1.0702</v>
      </c>
      <c r="E32" s="45">
        <f>Compilation!S13</f>
        <v>52.5</v>
      </c>
      <c r="F32" s="156">
        <f>Compilation!Z13</f>
        <v>55.7</v>
      </c>
      <c r="G32" s="264">
        <f>Compilation!AD13</f>
        <v>56.185500000000005</v>
      </c>
      <c r="H32" s="162" t="str">
        <f>Compilation!V13</f>
        <v>Cuiller (3)</v>
      </c>
    </row>
    <row r="33" spans="1:8" x14ac:dyDescent="0.3">
      <c r="A33" s="392"/>
      <c r="B33" s="286">
        <f t="shared" si="0"/>
        <v>-1.0758620689655279E-2</v>
      </c>
      <c r="C33" s="155">
        <f>Compilation!AE18</f>
        <v>-4.05600000000004</v>
      </c>
      <c r="D33" s="128">
        <f>Compilation!G18</f>
        <v>7.3280000000000003</v>
      </c>
      <c r="E33" s="45">
        <f>Compilation!S18</f>
        <v>52</v>
      </c>
      <c r="F33" s="156">
        <f>Compilation!Z18</f>
        <v>377</v>
      </c>
      <c r="G33" s="264">
        <f>Compilation!AD18</f>
        <v>381.05600000000004</v>
      </c>
      <c r="H33" s="162" t="str">
        <f>Compilation!V18</f>
        <v>Flambeau (2)</v>
      </c>
    </row>
    <row r="34" spans="1:8" x14ac:dyDescent="0.3">
      <c r="A34" s="393"/>
      <c r="B34" s="286">
        <f t="shared" si="0"/>
        <v>-1.8896202531645621E-2</v>
      </c>
      <c r="C34" s="155">
        <f>Compilation!AE21</f>
        <v>-2.7057000000000073</v>
      </c>
      <c r="D34" s="128">
        <f>Compilation!G21</f>
        <v>2.5154000000000001</v>
      </c>
      <c r="E34" s="45">
        <f>Compilation!S21</f>
        <v>58</v>
      </c>
      <c r="F34" s="156">
        <f>Compilation!Z21</f>
        <v>143.1875</v>
      </c>
      <c r="G34" s="264">
        <f>Compilation!AD21</f>
        <v>145.89320000000001</v>
      </c>
      <c r="H34" s="162" t="str">
        <f>Compilation!V21</f>
        <v>Huilier (porte) (1)</v>
      </c>
    </row>
    <row r="35" spans="1:8" x14ac:dyDescent="0.3">
      <c r="A35" s="357">
        <v>1</v>
      </c>
      <c r="B35" s="286"/>
      <c r="C35" s="356"/>
      <c r="D35" s="128">
        <f>Compilation!G6</f>
        <v>1.9530000000000001</v>
      </c>
      <c r="E35" s="361">
        <f>Compilation!S6</f>
        <v>18.561187916026626</v>
      </c>
      <c r="F35" s="156">
        <f>Compilation!Z6</f>
        <v>36.25</v>
      </c>
      <c r="G35" s="156"/>
      <c r="H35" s="293" t="str">
        <f>Compilation!V6</f>
        <v>Couteau (4)</v>
      </c>
    </row>
    <row r="36" spans="1:8" ht="15.5" thickBot="1" x14ac:dyDescent="0.35">
      <c r="A36" s="284" t="str">
        <f>IF(SUM(A2:A35)=34,"✓","NON")</f>
        <v>✓</v>
      </c>
      <c r="B36" s="287"/>
      <c r="C36" s="272"/>
      <c r="D36" s="157"/>
      <c r="E36" s="158"/>
      <c r="F36" s="272"/>
      <c r="G36" s="272"/>
      <c r="H36" s="265"/>
    </row>
    <row r="37" spans="1:8" ht="15.5" thickTop="1" x14ac:dyDescent="0.3">
      <c r="B37" s="288"/>
      <c r="D37" s="3"/>
    </row>
    <row r="38" spans="1:8" x14ac:dyDescent="0.3">
      <c r="B38" s="288"/>
      <c r="D38" s="3"/>
    </row>
    <row r="39" spans="1:8" x14ac:dyDescent="0.3">
      <c r="B39" s="288"/>
    </row>
    <row r="40" spans="1:8" x14ac:dyDescent="0.3">
      <c r="B40" s="288"/>
    </row>
    <row r="41" spans="1:8" x14ac:dyDescent="0.3">
      <c r="B41" s="288"/>
    </row>
    <row r="42" spans="1:8" x14ac:dyDescent="0.3">
      <c r="B42" s="288"/>
    </row>
    <row r="43" spans="1:8" x14ac:dyDescent="0.3">
      <c r="B43" s="288"/>
    </row>
    <row r="44" spans="1:8" x14ac:dyDescent="0.3">
      <c r="B44" s="288"/>
    </row>
    <row r="45" spans="1:8" x14ac:dyDescent="0.3">
      <c r="B45" s="288"/>
    </row>
    <row r="46" spans="1:8" x14ac:dyDescent="0.3">
      <c r="B46" s="288"/>
    </row>
    <row r="47" spans="1:8" x14ac:dyDescent="0.3">
      <c r="B47" s="288"/>
    </row>
    <row r="48" spans="1:8" x14ac:dyDescent="0.3">
      <c r="B48" s="288"/>
    </row>
  </sheetData>
  <sortState xmlns:xlrd2="http://schemas.microsoft.com/office/spreadsheetml/2017/richdata2" ref="A2:H35">
    <sortCondition descending="1" ref="B2:B35"/>
  </sortState>
  <mergeCells count="4">
    <mergeCell ref="A32:A34"/>
    <mergeCell ref="A2:A4"/>
    <mergeCell ref="A5:A6"/>
    <mergeCell ref="A7:A31"/>
  </mergeCells>
  <printOptions horizontalCentered="1"/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13AA-12A7-48D2-8D81-FB39FBFDC2A9}">
  <sheetPr>
    <pageSetUpPr fitToPage="1"/>
  </sheetPr>
  <dimension ref="A1:C36"/>
  <sheetViews>
    <sheetView showGridLines="0" workbookViewId="0">
      <selection activeCell="C12" sqref="C12"/>
    </sheetView>
  </sheetViews>
  <sheetFormatPr baseColWidth="10" defaultRowHeight="15" x14ac:dyDescent="0.3"/>
  <cols>
    <col min="1" max="1" width="19.59765625" style="39" bestFit="1" customWidth="1"/>
    <col min="2" max="2" width="11.796875" style="38" bestFit="1" customWidth="1"/>
    <col min="3" max="3" width="68.33203125" bestFit="1" customWidth="1"/>
  </cols>
  <sheetData>
    <row r="1" spans="1:3" s="78" customFormat="1" x14ac:dyDescent="0.3">
      <c r="A1" s="138" t="s">
        <v>167</v>
      </c>
      <c r="B1" s="135" t="s">
        <v>112</v>
      </c>
      <c r="C1" s="92" t="s">
        <v>170</v>
      </c>
    </row>
    <row r="2" spans="1:3" x14ac:dyDescent="0.3">
      <c r="A2" s="139" t="s">
        <v>240</v>
      </c>
      <c r="B2" s="135" t="str">
        <f>Compilation!A1</f>
        <v>Q</v>
      </c>
      <c r="C2" s="93" t="s">
        <v>109</v>
      </c>
    </row>
    <row r="3" spans="1:3" x14ac:dyDescent="0.3">
      <c r="A3" s="139" t="s">
        <v>241</v>
      </c>
      <c r="B3" s="135" t="str">
        <f>Compilation!B1</f>
        <v>Objet</v>
      </c>
      <c r="C3" s="93" t="s">
        <v>151</v>
      </c>
    </row>
    <row r="4" spans="1:3" x14ac:dyDescent="0.3">
      <c r="A4" s="139" t="s">
        <v>166</v>
      </c>
      <c r="B4" s="135" t="str">
        <f>Compilation!C1</f>
        <v>Qto</v>
      </c>
      <c r="C4" s="93" t="s">
        <v>152</v>
      </c>
    </row>
    <row r="5" spans="1:3" x14ac:dyDescent="0.3">
      <c r="A5" s="139" t="s">
        <v>165</v>
      </c>
      <c r="B5" s="135" t="str">
        <f>Compilation!D1</f>
        <v>M</v>
      </c>
      <c r="C5" s="93" t="s">
        <v>153</v>
      </c>
    </row>
    <row r="6" spans="1:3" x14ac:dyDescent="0.3">
      <c r="A6" s="139" t="s">
        <v>165</v>
      </c>
      <c r="B6" s="135" t="str">
        <f>Compilation!E1</f>
        <v>O</v>
      </c>
      <c r="C6" s="93" t="s">
        <v>154</v>
      </c>
    </row>
    <row r="7" spans="1:3" x14ac:dyDescent="0.3">
      <c r="A7" s="139" t="s">
        <v>165</v>
      </c>
      <c r="B7" s="135" t="str">
        <f>Compilation!F1</f>
        <v>G</v>
      </c>
      <c r="C7" s="93" t="s">
        <v>155</v>
      </c>
    </row>
    <row r="8" spans="1:3" x14ac:dyDescent="0.3">
      <c r="A8" s="139" t="s">
        <v>192</v>
      </c>
      <c r="B8" s="135" t="s">
        <v>179</v>
      </c>
      <c r="C8" s="93" t="s">
        <v>184</v>
      </c>
    </row>
    <row r="9" spans="1:3" x14ac:dyDescent="0.3">
      <c r="A9" s="139" t="s">
        <v>165</v>
      </c>
      <c r="B9" s="135" t="str">
        <f>Compilation!H1</f>
        <v>Gr</v>
      </c>
      <c r="C9" s="94" t="s">
        <v>130</v>
      </c>
    </row>
    <row r="10" spans="1:3" x14ac:dyDescent="0.3">
      <c r="A10" s="139" t="s">
        <v>165</v>
      </c>
      <c r="B10" s="135" t="str">
        <f>Compilation!I1</f>
        <v>GrTo</v>
      </c>
      <c r="C10" s="93" t="s">
        <v>129</v>
      </c>
    </row>
    <row r="11" spans="1:3" x14ac:dyDescent="0.3">
      <c r="A11" s="139" t="s">
        <v>165</v>
      </c>
      <c r="B11" s="135" t="str">
        <f>Compilation!J1</f>
        <v>$To</v>
      </c>
      <c r="C11" s="93" t="s">
        <v>157</v>
      </c>
    </row>
    <row r="12" spans="1:3" x14ac:dyDescent="0.3">
      <c r="A12" s="139" t="s">
        <v>168</v>
      </c>
      <c r="B12" s="135" t="str">
        <f>Compilation!K1</f>
        <v>Gr1</v>
      </c>
      <c r="C12" s="93" t="s">
        <v>113</v>
      </c>
    </row>
    <row r="13" spans="1:3" x14ac:dyDescent="0.3">
      <c r="A13" s="139" t="s">
        <v>168</v>
      </c>
      <c r="B13" s="135" t="str">
        <f>Compilation!L1</f>
        <v>$1</v>
      </c>
      <c r="C13" s="93" t="s">
        <v>173</v>
      </c>
    </row>
    <row r="14" spans="1:3" x14ac:dyDescent="0.3">
      <c r="A14" s="139" t="s">
        <v>168</v>
      </c>
      <c r="B14" s="135" t="str">
        <f>Compilation!M1</f>
        <v>$1F</v>
      </c>
      <c r="C14" s="93" t="s">
        <v>172</v>
      </c>
    </row>
    <row r="15" spans="1:3" x14ac:dyDescent="0.3">
      <c r="A15" s="139" t="s">
        <v>165</v>
      </c>
      <c r="B15" s="135" t="str">
        <f>Compilation!N1</f>
        <v>Em</v>
      </c>
      <c r="C15" s="93" t="s">
        <v>158</v>
      </c>
    </row>
    <row r="16" spans="1:3" x14ac:dyDescent="0.3">
      <c r="A16" s="139" t="s">
        <v>165</v>
      </c>
      <c r="B16" s="135" t="str">
        <f>Compilation!O1</f>
        <v>Es</v>
      </c>
      <c r="C16" s="93" t="s">
        <v>159</v>
      </c>
    </row>
    <row r="17" spans="1:3" x14ac:dyDescent="0.3">
      <c r="A17" s="139" t="s">
        <v>165</v>
      </c>
      <c r="B17" s="135" t="str">
        <f>Compilation!P1</f>
        <v>Ed</v>
      </c>
      <c r="C17" s="93" t="s">
        <v>163</v>
      </c>
    </row>
    <row r="18" spans="1:3" x14ac:dyDescent="0.3">
      <c r="A18" s="139" t="s">
        <v>165</v>
      </c>
      <c r="B18" s="135" t="str">
        <f>Compilation!Q1</f>
        <v>Vm</v>
      </c>
      <c r="C18" s="93" t="s">
        <v>161</v>
      </c>
    </row>
    <row r="19" spans="1:3" x14ac:dyDescent="0.3">
      <c r="A19" s="139" t="s">
        <v>165</v>
      </c>
      <c r="B19" s="135" t="str">
        <f>Compilation!R1</f>
        <v>Vs</v>
      </c>
      <c r="C19" s="93" t="s">
        <v>162</v>
      </c>
    </row>
    <row r="20" spans="1:3" x14ac:dyDescent="0.3">
      <c r="A20" s="139" t="s">
        <v>193</v>
      </c>
      <c r="B20" s="135" t="str">
        <f>Compilation!S1</f>
        <v>Vd</v>
      </c>
      <c r="C20" s="93" t="s">
        <v>160</v>
      </c>
    </row>
    <row r="21" spans="1:3" x14ac:dyDescent="0.3">
      <c r="A21" s="139" t="s">
        <v>240</v>
      </c>
      <c r="B21" s="135" t="str">
        <f>Compilation!T1</f>
        <v>pdf</v>
      </c>
      <c r="C21" s="93" t="s">
        <v>164</v>
      </c>
    </row>
    <row r="22" spans="1:3" x14ac:dyDescent="0.3">
      <c r="A22" s="139" t="s">
        <v>243</v>
      </c>
      <c r="B22" s="135" t="str">
        <f>Compilation!U1</f>
        <v>Acheteur</v>
      </c>
      <c r="C22" s="93" t="s">
        <v>110</v>
      </c>
    </row>
    <row r="23" spans="1:3" x14ac:dyDescent="0.3">
      <c r="A23" s="139" t="s">
        <v>194</v>
      </c>
      <c r="B23" s="135" t="str">
        <f>Compilation!V1</f>
        <v>Ao</v>
      </c>
      <c r="C23" s="93" t="s">
        <v>111</v>
      </c>
    </row>
    <row r="24" spans="1:3" x14ac:dyDescent="0.3">
      <c r="A24" s="139" t="s">
        <v>165</v>
      </c>
      <c r="B24" s="135" t="str">
        <f>Compilation!W1</f>
        <v>#</v>
      </c>
      <c r="C24" s="93" t="s">
        <v>185</v>
      </c>
    </row>
    <row r="25" spans="1:3" x14ac:dyDescent="0.3">
      <c r="A25" s="139" t="s">
        <v>165</v>
      </c>
      <c r="B25" s="135" t="str">
        <f>Compilation!X1</f>
        <v>s</v>
      </c>
      <c r="C25" s="93" t="s">
        <v>186</v>
      </c>
    </row>
    <row r="26" spans="1:3" x14ac:dyDescent="0.3">
      <c r="A26" s="139" t="s">
        <v>165</v>
      </c>
      <c r="B26" s="135" t="str">
        <f>Compilation!Y1</f>
        <v>d</v>
      </c>
      <c r="C26" s="93" t="s">
        <v>187</v>
      </c>
    </row>
    <row r="27" spans="1:3" x14ac:dyDescent="0.3">
      <c r="A27" s="139" t="s">
        <v>244</v>
      </c>
      <c r="B27" s="140" t="str">
        <f>Compilation!Z1</f>
        <v>#d</v>
      </c>
      <c r="C27" s="93" t="s">
        <v>188</v>
      </c>
    </row>
    <row r="28" spans="1:3" x14ac:dyDescent="0.3">
      <c r="A28" s="139" t="s">
        <v>195</v>
      </c>
      <c r="B28" s="140" t="str">
        <f>Compilation!AA1</f>
        <v>#d1</v>
      </c>
      <c r="C28" s="93" t="s">
        <v>189</v>
      </c>
    </row>
    <row r="29" spans="1:3" x14ac:dyDescent="0.3">
      <c r="A29" s="139" t="s">
        <v>175</v>
      </c>
      <c r="B29" s="135" t="str">
        <f>Compilation!AB1</f>
        <v>$AF</v>
      </c>
      <c r="C29" s="93" t="s">
        <v>174</v>
      </c>
    </row>
    <row r="30" spans="1:3" x14ac:dyDescent="0.3">
      <c r="A30" s="139" t="s">
        <v>175</v>
      </c>
      <c r="B30" s="135" t="str">
        <f>Compilation!AC1</f>
        <v>Note</v>
      </c>
      <c r="C30" s="93" t="s">
        <v>131</v>
      </c>
    </row>
    <row r="31" spans="1:3" x14ac:dyDescent="0.3">
      <c r="A31" s="139" t="s">
        <v>192</v>
      </c>
      <c r="B31" s="140" t="str">
        <f>Compilation!AD1</f>
        <v>#dv</v>
      </c>
      <c r="C31" s="93" t="s">
        <v>190</v>
      </c>
    </row>
    <row r="32" spans="1:3" x14ac:dyDescent="0.3">
      <c r="A32" s="139" t="s">
        <v>192</v>
      </c>
      <c r="B32" s="140" t="str">
        <f>Compilation!AE1</f>
        <v>#de</v>
      </c>
      <c r="C32" s="93" t="s">
        <v>191</v>
      </c>
    </row>
    <row r="33" spans="1:3" x14ac:dyDescent="0.3">
      <c r="A33" s="139" t="s">
        <v>236</v>
      </c>
      <c r="B33" s="140" t="s">
        <v>236</v>
      </c>
      <c r="C33" s="93" t="s">
        <v>245</v>
      </c>
    </row>
    <row r="34" spans="1:3" x14ac:dyDescent="0.3">
      <c r="A34" s="139" t="s">
        <v>236</v>
      </c>
      <c r="B34" s="140" t="s">
        <v>237</v>
      </c>
      <c r="C34" s="93" t="s">
        <v>242</v>
      </c>
    </row>
    <row r="35" spans="1:3" x14ac:dyDescent="0.3">
      <c r="A35" s="139" t="s">
        <v>171</v>
      </c>
      <c r="B35" s="141" t="str">
        <f>Acheteurs!F1</f>
        <v>Ratio $/#</v>
      </c>
      <c r="C35" s="93" t="s">
        <v>150</v>
      </c>
    </row>
    <row r="36" spans="1:3" x14ac:dyDescent="0.3">
      <c r="A36" s="139" t="s">
        <v>169</v>
      </c>
      <c r="B36" s="135" t="s">
        <v>108</v>
      </c>
      <c r="C36" s="93" t="s">
        <v>149</v>
      </c>
    </row>
  </sheetData>
  <hyperlinks>
    <hyperlink ref="C9" location="Marc!A1" display="Poids de l'objet : converti en gramme" xr:uid="{184429A0-2E99-4BA2-927B-74C175C99174}"/>
  </hyperlinks>
  <printOptions horizontalCentered="1"/>
  <pageMargins left="0.23622047244094491" right="0.23622047244094491" top="0.74803149606299213" bottom="0.74803149606299213" header="0.31496062992125984" footer="0.31496062992125984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99B75-F8E4-46B7-8BA9-E77D0ADE3ACA}">
  <dimension ref="A1:B21"/>
  <sheetViews>
    <sheetView showGridLines="0" workbookViewId="0"/>
  </sheetViews>
  <sheetFormatPr baseColWidth="10" defaultRowHeight="15" x14ac:dyDescent="0.3"/>
  <cols>
    <col min="1" max="1" width="4.53125" style="2" bestFit="1" customWidth="1"/>
    <col min="2" max="2" width="14.73046875" bestFit="1" customWidth="1"/>
  </cols>
  <sheetData>
    <row r="1" spans="1:2" s="78" customFormat="1" ht="15.5" thickTop="1" x14ac:dyDescent="0.3">
      <c r="A1" s="159" t="str">
        <f>Compilation!C1</f>
        <v>Qto</v>
      </c>
      <c r="B1" s="160" t="str">
        <f>Compilation!B1</f>
        <v>Objet</v>
      </c>
    </row>
    <row r="2" spans="1:2" x14ac:dyDescent="0.3">
      <c r="A2" s="161">
        <f>Compilation!C8</f>
        <v>52</v>
      </c>
      <c r="B2" s="162" t="s">
        <v>177</v>
      </c>
    </row>
    <row r="3" spans="1:2" x14ac:dyDescent="0.3">
      <c r="A3" s="161">
        <f>Compilation!C24</f>
        <v>16</v>
      </c>
      <c r="B3" s="162" t="str">
        <f>Compilation!B24</f>
        <v>Plat</v>
      </c>
    </row>
    <row r="4" spans="1:2" x14ac:dyDescent="0.3">
      <c r="A4" s="161">
        <f>Compilation!C6</f>
        <v>10</v>
      </c>
      <c r="B4" s="162" t="str">
        <f>Compilation!B6</f>
        <v>Couteau</v>
      </c>
    </row>
    <row r="5" spans="1:2" x14ac:dyDescent="0.3">
      <c r="A5" s="161">
        <f>Compilation!C19</f>
        <v>4</v>
      </c>
      <c r="B5" s="162" t="str">
        <f>Compilation!B19</f>
        <v>Flambeau</v>
      </c>
    </row>
    <row r="6" spans="1:2" x14ac:dyDescent="0.3">
      <c r="A6" s="161">
        <f>Compilation!C22</f>
        <v>4</v>
      </c>
      <c r="B6" s="162" t="str">
        <f>Compilation!B22</f>
        <v>Jatte</v>
      </c>
    </row>
    <row r="7" spans="1:2" x14ac:dyDescent="0.3">
      <c r="A7" s="161">
        <f>Compilation!C32</f>
        <v>4</v>
      </c>
      <c r="B7" s="162" t="str">
        <f>Compilation!B32</f>
        <v>Salière</v>
      </c>
    </row>
    <row r="8" spans="1:2" x14ac:dyDescent="0.3">
      <c r="A8" s="161">
        <f>Compilation!C13</f>
        <v>3</v>
      </c>
      <c r="B8" s="162" t="str">
        <f>Compilation!B13</f>
        <v>Cuiller</v>
      </c>
    </row>
    <row r="9" spans="1:2" x14ac:dyDescent="0.3">
      <c r="A9" s="161">
        <f>Compilation!C2</f>
        <v>2</v>
      </c>
      <c r="B9" s="162" t="str">
        <f>Compilation!B2</f>
        <v>Aiguière</v>
      </c>
    </row>
    <row r="10" spans="1:2" x14ac:dyDescent="0.3">
      <c r="A10" s="161">
        <f>Compilation!C14</f>
        <v>2</v>
      </c>
      <c r="B10" s="162" t="str">
        <f>Compilation!B14</f>
        <v>Cuiller à olives</v>
      </c>
    </row>
    <row r="11" spans="1:2" x14ac:dyDescent="0.3">
      <c r="A11" s="161">
        <f>Compilation!C17</f>
        <v>2</v>
      </c>
      <c r="B11" s="162" t="str">
        <f>Compilation!B17</f>
        <v>Cuiller à ragoût</v>
      </c>
    </row>
    <row r="12" spans="1:2" x14ac:dyDescent="0.3">
      <c r="A12" s="161">
        <f>Compilation!C33</f>
        <v>2</v>
      </c>
      <c r="B12" s="162" t="str">
        <f>Compilation!B33</f>
        <v>Saucière</v>
      </c>
    </row>
    <row r="13" spans="1:2" x14ac:dyDescent="0.3">
      <c r="A13" s="161">
        <f>Compilation!C34</f>
        <v>2</v>
      </c>
      <c r="B13" s="162" t="str">
        <f>Compilation!B34</f>
        <v>Sucrier</v>
      </c>
    </row>
    <row r="14" spans="1:2" x14ac:dyDescent="0.3">
      <c r="A14" s="161">
        <f>Compilation!C4</f>
        <v>1</v>
      </c>
      <c r="B14" s="162" t="str">
        <f>Compilation!B4</f>
        <v>Cafetière</v>
      </c>
    </row>
    <row r="15" spans="1:2" x14ac:dyDescent="0.3">
      <c r="A15" s="161">
        <f>Compilation!C5</f>
        <v>1</v>
      </c>
      <c r="B15" s="162" t="str">
        <f>Compilation!B5</f>
        <v>Coquetier</v>
      </c>
    </row>
    <row r="16" spans="1:2" x14ac:dyDescent="0.3">
      <c r="A16" s="161">
        <f>Compilation!C15</f>
        <v>1</v>
      </c>
      <c r="B16" s="162" t="str">
        <f>Compilation!B15</f>
        <v>Cuiller à pot</v>
      </c>
    </row>
    <row r="17" spans="1:2" x14ac:dyDescent="0.3">
      <c r="A17" s="161">
        <f>Compilation!C16</f>
        <v>1</v>
      </c>
      <c r="B17" s="162" t="str">
        <f>Compilation!B16</f>
        <v>Cuiller à potage</v>
      </c>
    </row>
    <row r="18" spans="1:2" x14ac:dyDescent="0.3">
      <c r="A18" s="161">
        <f>Compilation!C20</f>
        <v>1</v>
      </c>
      <c r="B18" s="162" t="str">
        <f>Compilation!B20</f>
        <v>Huilier</v>
      </c>
    </row>
    <row r="19" spans="1:2" x14ac:dyDescent="0.3">
      <c r="A19" s="161">
        <f>Compilation!C21</f>
        <v>1</v>
      </c>
      <c r="B19" s="162" t="str">
        <f>Compilation!B21</f>
        <v>Huilier (porte)</v>
      </c>
    </row>
    <row r="20" spans="1:2" ht="15.5" thickBot="1" x14ac:dyDescent="0.35">
      <c r="A20" s="163">
        <f>SUM(A2:A19)</f>
        <v>109</v>
      </c>
      <c r="B20" s="164" t="str">
        <f>CONCATENATE("items pour ",COUNTA(B2:B19)," types")</f>
        <v>items pour 18 types</v>
      </c>
    </row>
    <row r="21" spans="1:2" ht="15.5" thickTop="1" x14ac:dyDescent="0.3"/>
  </sheetData>
  <printOptions horizontalCentered="1"/>
  <pageMargins left="0.23622047244094491" right="0.23622047244094491" top="0.74803149606299213" bottom="0.74803149606299213" header="0.31496062992125984" footer="0.31496062992125984"/>
  <pageSetup scale="200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46A4E-8057-4FE3-8EA1-11030B7304D2}">
  <dimension ref="A1:J11"/>
  <sheetViews>
    <sheetView showGridLines="0" workbookViewId="0">
      <selection activeCell="E9" sqref="E9"/>
    </sheetView>
  </sheetViews>
  <sheetFormatPr baseColWidth="10" defaultRowHeight="15" x14ac:dyDescent="0.3"/>
  <cols>
    <col min="1" max="1" width="7" style="294" bestFit="1" customWidth="1"/>
    <col min="2" max="2" width="9.33203125" style="294" bestFit="1" customWidth="1"/>
    <col min="3" max="3" width="9.06640625" style="294" bestFit="1" customWidth="1"/>
    <col min="4" max="4" width="12.19921875" style="294" bestFit="1" customWidth="1"/>
    <col min="5" max="5" width="20.19921875" style="294" bestFit="1" customWidth="1"/>
    <col min="6" max="6" width="12.9296875" style="294" bestFit="1" customWidth="1"/>
    <col min="7" max="7" width="5.3984375" style="294" bestFit="1" customWidth="1"/>
    <col min="8" max="8" width="4.265625" style="294" bestFit="1" customWidth="1"/>
    <col min="9" max="9" width="5.9296875" style="294" bestFit="1" customWidth="1"/>
    <col min="10" max="10" width="4.86328125" style="297" bestFit="1" customWidth="1"/>
    <col min="11" max="16384" width="10.6640625" style="294"/>
  </cols>
  <sheetData>
    <row r="1" spans="1:10" s="295" customFormat="1" ht="27.5" thickTop="1" x14ac:dyDescent="0.3">
      <c r="A1" s="298" t="s">
        <v>202</v>
      </c>
      <c r="B1" s="299" t="s">
        <v>203</v>
      </c>
      <c r="C1" s="300" t="s">
        <v>204</v>
      </c>
      <c r="D1" s="300" t="s">
        <v>205</v>
      </c>
      <c r="E1" s="300" t="s">
        <v>206</v>
      </c>
      <c r="F1" s="300" t="s">
        <v>207</v>
      </c>
      <c r="G1" s="300" t="s">
        <v>139</v>
      </c>
      <c r="H1" s="300" t="s">
        <v>140</v>
      </c>
      <c r="I1" s="300" t="s">
        <v>91</v>
      </c>
      <c r="J1" s="301" t="s">
        <v>141</v>
      </c>
    </row>
    <row r="2" spans="1:10" x14ac:dyDescent="0.3">
      <c r="A2" s="302">
        <v>12</v>
      </c>
      <c r="B2" s="303"/>
      <c r="C2" s="303"/>
      <c r="D2" s="304" t="s">
        <v>208</v>
      </c>
      <c r="E2" s="304" t="s">
        <v>209</v>
      </c>
      <c r="F2" s="304" t="s">
        <v>210</v>
      </c>
      <c r="G2" s="304">
        <v>1</v>
      </c>
      <c r="H2" s="304">
        <v>13</v>
      </c>
      <c r="I2" s="305">
        <f>G2+(H2/20)</f>
        <v>1.65</v>
      </c>
      <c r="J2" s="306">
        <f>I2/(A2+B2+C2)</f>
        <v>0.13749999999999998</v>
      </c>
    </row>
    <row r="3" spans="1:10" x14ac:dyDescent="0.3">
      <c r="A3" s="302">
        <v>12</v>
      </c>
      <c r="B3" s="303"/>
      <c r="C3" s="303"/>
      <c r="D3" s="304" t="s">
        <v>211</v>
      </c>
      <c r="E3" s="304" t="s">
        <v>212</v>
      </c>
      <c r="F3" s="304" t="s">
        <v>78</v>
      </c>
      <c r="G3" s="304">
        <v>2</v>
      </c>
      <c r="H3" s="303"/>
      <c r="I3" s="305">
        <f t="shared" ref="I3:I9" si="0">G3+(H3/20)</f>
        <v>2</v>
      </c>
      <c r="J3" s="306">
        <f t="shared" ref="J3:J9" si="1">I3/(A3+B3+C3)</f>
        <v>0.16666666666666666</v>
      </c>
    </row>
    <row r="4" spans="1:10" x14ac:dyDescent="0.3">
      <c r="A4" s="302">
        <v>12</v>
      </c>
      <c r="B4" s="303"/>
      <c r="C4" s="303"/>
      <c r="D4" s="304" t="s">
        <v>213</v>
      </c>
      <c r="E4" s="304" t="s">
        <v>214</v>
      </c>
      <c r="F4" s="304" t="s">
        <v>78</v>
      </c>
      <c r="G4" s="304">
        <v>2</v>
      </c>
      <c r="H4" s="303"/>
      <c r="I4" s="305">
        <f t="shared" si="0"/>
        <v>2</v>
      </c>
      <c r="J4" s="306">
        <f t="shared" si="1"/>
        <v>0.16666666666666666</v>
      </c>
    </row>
    <row r="5" spans="1:10" x14ac:dyDescent="0.3">
      <c r="A5" s="307"/>
      <c r="B5" s="304">
        <v>23</v>
      </c>
      <c r="C5" s="303"/>
      <c r="D5" s="303"/>
      <c r="E5" s="303"/>
      <c r="F5" s="304" t="s">
        <v>210</v>
      </c>
      <c r="G5" s="304">
        <v>2</v>
      </c>
      <c r="H5" s="304">
        <v>12</v>
      </c>
      <c r="I5" s="305">
        <f t="shared" si="0"/>
        <v>2.6</v>
      </c>
      <c r="J5" s="306">
        <f t="shared" si="1"/>
        <v>0.11304347826086956</v>
      </c>
    </row>
    <row r="6" spans="1:10" x14ac:dyDescent="0.3">
      <c r="A6" s="307"/>
      <c r="B6" s="304">
        <v>13</v>
      </c>
      <c r="C6" s="303"/>
      <c r="D6" s="303"/>
      <c r="E6" s="304" t="s">
        <v>220</v>
      </c>
      <c r="F6" s="304" t="s">
        <v>215</v>
      </c>
      <c r="G6" s="304">
        <v>2</v>
      </c>
      <c r="H6" s="304">
        <v>14</v>
      </c>
      <c r="I6" s="305">
        <f t="shared" si="0"/>
        <v>2.7</v>
      </c>
      <c r="J6" s="306">
        <f t="shared" si="1"/>
        <v>0.2076923076923077</v>
      </c>
    </row>
    <row r="7" spans="1:10" x14ac:dyDescent="0.3">
      <c r="A7" s="302">
        <v>6</v>
      </c>
      <c r="B7" s="303"/>
      <c r="C7" s="303"/>
      <c r="D7" s="303"/>
      <c r="E7" s="304" t="s">
        <v>216</v>
      </c>
      <c r="F7" s="304" t="s">
        <v>217</v>
      </c>
      <c r="G7" s="304">
        <v>1</v>
      </c>
      <c r="H7" s="304">
        <v>4</v>
      </c>
      <c r="I7" s="305">
        <f t="shared" si="0"/>
        <v>1.2</v>
      </c>
      <c r="J7" s="306">
        <f t="shared" si="1"/>
        <v>0.19999999999999998</v>
      </c>
    </row>
    <row r="8" spans="1:10" x14ac:dyDescent="0.3">
      <c r="A8" s="302">
        <v>2</v>
      </c>
      <c r="B8" s="303"/>
      <c r="C8" s="303"/>
      <c r="D8" s="303"/>
      <c r="E8" s="303"/>
      <c r="F8" s="304" t="s">
        <v>218</v>
      </c>
      <c r="G8" s="303"/>
      <c r="H8" s="304">
        <v>8</v>
      </c>
      <c r="I8" s="305">
        <f t="shared" si="0"/>
        <v>0.4</v>
      </c>
      <c r="J8" s="306">
        <f t="shared" si="1"/>
        <v>0.2</v>
      </c>
    </row>
    <row r="9" spans="1:10" x14ac:dyDescent="0.3">
      <c r="A9" s="307"/>
      <c r="B9" s="303"/>
      <c r="C9" s="304">
        <v>3</v>
      </c>
      <c r="D9" s="304" t="s">
        <v>219</v>
      </c>
      <c r="E9" s="303"/>
      <c r="F9" s="304" t="s">
        <v>217</v>
      </c>
      <c r="G9" s="304">
        <v>3</v>
      </c>
      <c r="H9" s="304">
        <v>1</v>
      </c>
      <c r="I9" s="305">
        <f t="shared" si="0"/>
        <v>3.05</v>
      </c>
      <c r="J9" s="306">
        <f t="shared" si="1"/>
        <v>1.0166666666666666</v>
      </c>
    </row>
    <row r="10" spans="1:10" s="296" customFormat="1" ht="15.5" thickBot="1" x14ac:dyDescent="0.35">
      <c r="A10" s="308">
        <f>SUM(A2:A9)</f>
        <v>44</v>
      </c>
      <c r="B10" s="309">
        <f t="shared" ref="B10:C10" si="2">SUM(B2:B9)</f>
        <v>36</v>
      </c>
      <c r="C10" s="309">
        <f t="shared" si="2"/>
        <v>3</v>
      </c>
      <c r="D10" s="373" t="str">
        <f>CONCATENATE("Total de ",A10+B10+C10," assiettes vendues ",I10,"#")</f>
        <v>Total de 83 assiettes vendues 15,6#</v>
      </c>
      <c r="E10" s="374"/>
      <c r="F10" s="374"/>
      <c r="G10" s="309"/>
      <c r="H10" s="309"/>
      <c r="I10" s="309">
        <f>SUM(I2:I9)</f>
        <v>15.599999999999998</v>
      </c>
      <c r="J10" s="310"/>
    </row>
    <row r="11" spans="1:10" ht="15.5" thickTop="1" x14ac:dyDescent="0.3"/>
  </sheetData>
  <mergeCells count="1">
    <mergeCell ref="D10:F10"/>
  </mergeCells>
  <printOptions horizontalCentered="1"/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0C5FA-1111-468E-812B-C9168BC75CE0}">
  <dimension ref="A1:H9"/>
  <sheetViews>
    <sheetView showGridLines="0" workbookViewId="0">
      <selection activeCell="E16" sqref="E16"/>
    </sheetView>
  </sheetViews>
  <sheetFormatPr baseColWidth="10" defaultRowHeight="15" x14ac:dyDescent="0.3"/>
  <cols>
    <col min="1" max="1" width="3.6640625" style="2" bestFit="1" customWidth="1"/>
    <col min="2" max="2" width="2.3984375" style="2" bestFit="1" customWidth="1"/>
    <col min="3" max="3" width="14.86328125" style="2" bestFit="1" customWidth="1"/>
    <col min="4" max="4" width="22.9296875" style="2" customWidth="1"/>
    <col min="5" max="5" width="12.06640625" style="2" bestFit="1" customWidth="1"/>
    <col min="6" max="6" width="3.265625" style="2" bestFit="1" customWidth="1"/>
    <col min="7" max="7" width="8.73046875" style="2" bestFit="1" customWidth="1"/>
    <col min="8" max="8" width="7.06640625" style="2" bestFit="1" customWidth="1"/>
    <col min="9" max="16384" width="10.6640625" style="2"/>
  </cols>
  <sheetData>
    <row r="1" spans="1:8" s="311" customFormat="1" ht="14" thickTop="1" x14ac:dyDescent="0.3">
      <c r="A1" s="312" t="s">
        <v>85</v>
      </c>
      <c r="B1" s="313" t="s">
        <v>93</v>
      </c>
      <c r="C1" s="313" t="s">
        <v>0</v>
      </c>
      <c r="D1" s="313" t="s">
        <v>147</v>
      </c>
      <c r="E1" s="313" t="s">
        <v>236</v>
      </c>
      <c r="F1" s="313" t="s">
        <v>237</v>
      </c>
      <c r="G1" s="313" t="s">
        <v>5</v>
      </c>
      <c r="H1" s="314" t="s">
        <v>91</v>
      </c>
    </row>
    <row r="2" spans="1:8" x14ac:dyDescent="0.3">
      <c r="A2" s="317">
        <v>5</v>
      </c>
      <c r="B2" s="315">
        <v>1</v>
      </c>
      <c r="C2" s="315" t="s">
        <v>231</v>
      </c>
      <c r="D2" s="315" t="s">
        <v>232</v>
      </c>
      <c r="E2" s="315" t="s">
        <v>224</v>
      </c>
      <c r="F2" s="319">
        <v>5</v>
      </c>
      <c r="G2" s="315" t="s">
        <v>233</v>
      </c>
      <c r="H2" s="321">
        <v>9</v>
      </c>
    </row>
    <row r="3" spans="1:8" x14ac:dyDescent="0.3">
      <c r="A3" s="317">
        <v>5</v>
      </c>
      <c r="B3" s="315">
        <v>1</v>
      </c>
      <c r="C3" s="315" t="s">
        <v>231</v>
      </c>
      <c r="D3" s="315"/>
      <c r="E3" s="315" t="s">
        <v>224</v>
      </c>
      <c r="F3" s="319">
        <v>5</v>
      </c>
      <c r="G3" s="315" t="s">
        <v>228</v>
      </c>
      <c r="H3" s="321">
        <f>8+(15/20)</f>
        <v>8.75</v>
      </c>
    </row>
    <row r="4" spans="1:8" x14ac:dyDescent="0.3">
      <c r="A4" s="317">
        <v>5</v>
      </c>
      <c r="B4" s="315">
        <v>1</v>
      </c>
      <c r="C4" s="315" t="s">
        <v>234</v>
      </c>
      <c r="D4" s="315"/>
      <c r="E4" s="315" t="s">
        <v>224</v>
      </c>
      <c r="F4" s="319">
        <v>8</v>
      </c>
      <c r="G4" s="315" t="s">
        <v>229</v>
      </c>
      <c r="H4" s="321">
        <f>8+(5/20)</f>
        <v>8.25</v>
      </c>
    </row>
    <row r="5" spans="1:8" x14ac:dyDescent="0.3">
      <c r="A5" s="317">
        <v>5</v>
      </c>
      <c r="B5" s="315">
        <v>1</v>
      </c>
      <c r="C5" s="315" t="s">
        <v>234</v>
      </c>
      <c r="D5" s="315"/>
      <c r="E5" s="315" t="s">
        <v>224</v>
      </c>
      <c r="F5" s="319">
        <v>8</v>
      </c>
      <c r="G5" s="315" t="s">
        <v>229</v>
      </c>
      <c r="H5" s="321">
        <f>8+(5/20)</f>
        <v>8.25</v>
      </c>
    </row>
    <row r="6" spans="1:8" x14ac:dyDescent="0.3">
      <c r="A6" s="317">
        <v>12</v>
      </c>
      <c r="B6" s="315">
        <v>1</v>
      </c>
      <c r="C6" s="315" t="s">
        <v>239</v>
      </c>
      <c r="D6" s="315" t="s">
        <v>223</v>
      </c>
      <c r="E6" s="315" t="s">
        <v>226</v>
      </c>
      <c r="F6" s="319"/>
      <c r="G6" s="315" t="s">
        <v>42</v>
      </c>
      <c r="H6" s="321">
        <f>3+(5/20)</f>
        <v>3.25</v>
      </c>
    </row>
    <row r="7" spans="1:8" x14ac:dyDescent="0.3">
      <c r="A7" s="317">
        <v>28</v>
      </c>
      <c r="B7" s="315">
        <v>2</v>
      </c>
      <c r="C7" s="315" t="s">
        <v>221</v>
      </c>
      <c r="D7" s="315" t="s">
        <v>222</v>
      </c>
      <c r="E7" s="315" t="s">
        <v>224</v>
      </c>
      <c r="F7" s="319">
        <v>12</v>
      </c>
      <c r="G7" s="315" t="s">
        <v>227</v>
      </c>
      <c r="H7" s="321">
        <f>12+(15/20)</f>
        <v>12.75</v>
      </c>
    </row>
    <row r="8" spans="1:8" ht="15.5" thickBot="1" x14ac:dyDescent="0.35">
      <c r="A8" s="318">
        <v>35</v>
      </c>
      <c r="B8" s="316">
        <v>1</v>
      </c>
      <c r="C8" s="316" t="s">
        <v>235</v>
      </c>
      <c r="D8" s="316" t="s">
        <v>238</v>
      </c>
      <c r="E8" s="316" t="s">
        <v>225</v>
      </c>
      <c r="F8" s="320">
        <v>10</v>
      </c>
      <c r="G8" s="316" t="s">
        <v>230</v>
      </c>
      <c r="H8" s="322">
        <f>10+(5/20)</f>
        <v>10.25</v>
      </c>
    </row>
    <row r="9" spans="1:8" ht="15.5" thickTop="1" x14ac:dyDescent="0.3"/>
  </sheetData>
  <printOptions horizontalCentered="1"/>
  <pageMargins left="0.23622047244094491" right="0.23622047244094491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E1A5-ECDB-4B30-A670-42282A5B38F2}">
  <sheetPr>
    <pageSetUpPr fitToPage="1"/>
  </sheetPr>
  <dimension ref="A1:E54"/>
  <sheetViews>
    <sheetView showGridLines="0" topLeftCell="A23" workbookViewId="0">
      <selection activeCell="E30" sqref="E30"/>
    </sheetView>
  </sheetViews>
  <sheetFormatPr baseColWidth="10" defaultRowHeight="15" x14ac:dyDescent="0.3"/>
  <cols>
    <col min="1" max="1" width="10.86328125" style="2" bestFit="1" customWidth="1"/>
    <col min="2" max="2" width="6.33203125" style="2" bestFit="1" customWidth="1"/>
    <col min="3" max="3" width="9.3984375" style="2" bestFit="1" customWidth="1"/>
    <col min="4" max="4" width="10.3984375" style="2" bestFit="1" customWidth="1"/>
    <col min="5" max="5" width="20.1328125" style="13" bestFit="1" customWidth="1"/>
    <col min="6" max="16384" width="10.6640625" style="2"/>
  </cols>
  <sheetData>
    <row r="1" spans="1:5" s="38" customFormat="1" ht="15.5" thickTop="1" x14ac:dyDescent="0.3">
      <c r="A1" s="209" t="str">
        <f>Compilation!K1</f>
        <v>Gr1</v>
      </c>
      <c r="B1" s="210" t="str">
        <f>Compilation!AA1</f>
        <v>#d1</v>
      </c>
      <c r="C1" s="211" t="str">
        <f>Compilation!L1</f>
        <v>$1</v>
      </c>
      <c r="D1" s="211" t="str">
        <f>Compilation!M1</f>
        <v>$1F</v>
      </c>
      <c r="E1" s="212" t="str">
        <f>Compilation!B1</f>
        <v>Objet</v>
      </c>
    </row>
    <row r="2" spans="1:5" x14ac:dyDescent="0.3">
      <c r="A2" s="213">
        <f>Compilation!K24</f>
        <v>2072.7144089400003</v>
      </c>
      <c r="B2" s="128">
        <f>Compilation!AA24</f>
        <v>440.35</v>
      </c>
      <c r="C2" s="119">
        <f>Compilation!L24</f>
        <v>5492.6931836910007</v>
      </c>
      <c r="D2" s="119">
        <f>Compilation!M24</f>
        <v>10985.386367382001</v>
      </c>
      <c r="E2" s="214" t="str">
        <f>Compilation!B24</f>
        <v>Plat</v>
      </c>
    </row>
    <row r="3" spans="1:5" x14ac:dyDescent="0.3">
      <c r="A3" s="213">
        <f>Compilation!K25</f>
        <v>2030.66586072</v>
      </c>
      <c r="B3" s="128">
        <f>Compilation!AA25</f>
        <v>431.4375</v>
      </c>
      <c r="C3" s="119">
        <f>Compilation!L25</f>
        <v>5381.2645309079999</v>
      </c>
      <c r="D3" s="119">
        <f>Compilation!M25</f>
        <v>10762.529061816</v>
      </c>
      <c r="E3" s="214" t="str">
        <f>Compilation!B25</f>
        <v>Plat</v>
      </c>
    </row>
    <row r="4" spans="1:5" x14ac:dyDescent="0.3">
      <c r="A4" s="213">
        <f>Compilation!K26</f>
        <v>1873.8771529800001</v>
      </c>
      <c r="B4" s="128">
        <f>Compilation!AA26</f>
        <v>398.15</v>
      </c>
      <c r="C4" s="119">
        <f>Compilation!L26</f>
        <v>4965.7744553970006</v>
      </c>
      <c r="D4" s="119">
        <f>Compilation!M26</f>
        <v>9931.5489107940011</v>
      </c>
      <c r="E4" s="214" t="str">
        <f>Compilation!B26</f>
        <v>Plat</v>
      </c>
    </row>
    <row r="5" spans="1:5" x14ac:dyDescent="0.3">
      <c r="A5" s="213">
        <f>Compilation!K27</f>
        <v>1797.3673964400002</v>
      </c>
      <c r="B5" s="128">
        <f>Compilation!AA27</f>
        <v>381.85</v>
      </c>
      <c r="C5" s="119">
        <f>Compilation!L27</f>
        <v>4763.0236005660008</v>
      </c>
      <c r="D5" s="119">
        <f>Compilation!M27</f>
        <v>9526.0472011320016</v>
      </c>
      <c r="E5" s="214" t="str">
        <f>Compilation!B27</f>
        <v>Plat</v>
      </c>
    </row>
    <row r="6" spans="1:5" x14ac:dyDescent="0.3">
      <c r="A6" s="213">
        <f>Compilation!K2</f>
        <v>1154.8910339400002</v>
      </c>
      <c r="B6" s="128">
        <f>Compilation!AA2</f>
        <v>245.375</v>
      </c>
      <c r="C6" s="119">
        <f>Compilation!L2</f>
        <v>3060.4612399410003</v>
      </c>
      <c r="D6" s="119">
        <f>Compilation!M2</f>
        <v>6120.9224798820005</v>
      </c>
      <c r="E6" s="214" t="str">
        <f>Compilation!B2</f>
        <v>Aiguière</v>
      </c>
    </row>
    <row r="7" spans="1:5" x14ac:dyDescent="0.3">
      <c r="A7" s="213">
        <f>Compilation!K3</f>
        <v>1124.2969214400002</v>
      </c>
      <c r="B7" s="128">
        <f>Compilation!AA3</f>
        <v>250.83750000000001</v>
      </c>
      <c r="C7" s="119">
        <f>Compilation!L3</f>
        <v>2979.3868418160005</v>
      </c>
      <c r="D7" s="119">
        <f>Compilation!M3</f>
        <v>5958.7736836320009</v>
      </c>
      <c r="E7" s="214" t="str">
        <f>Compilation!B3</f>
        <v>Aiguière</v>
      </c>
    </row>
    <row r="8" spans="1:5" x14ac:dyDescent="0.3">
      <c r="A8" s="213">
        <f>Compilation!K30</f>
        <v>1015.33293036</v>
      </c>
      <c r="B8" s="128">
        <f>Compilation!AA30</f>
        <v>226.08749999999998</v>
      </c>
      <c r="C8" s="119">
        <f>Compilation!L30</f>
        <v>2690.6322654539999</v>
      </c>
      <c r="D8" s="119">
        <f>Compilation!M30</f>
        <v>5381.2645309079999</v>
      </c>
      <c r="E8" s="214" t="str">
        <f>Compilation!B30</f>
        <v>Plat ovale</v>
      </c>
    </row>
    <row r="9" spans="1:5" x14ac:dyDescent="0.3">
      <c r="A9" s="213">
        <f>Compilation!K31</f>
        <v>1015.33293036</v>
      </c>
      <c r="B9" s="128">
        <f>Compilation!AA31</f>
        <v>226.08749999999998</v>
      </c>
      <c r="C9" s="119">
        <f>Compilation!L31</f>
        <v>2690.6322654539999</v>
      </c>
      <c r="D9" s="119">
        <f>Compilation!M31</f>
        <v>5381.2645309079999</v>
      </c>
      <c r="E9" s="214" t="str">
        <f>Compilation!B31</f>
        <v>Plat ovale</v>
      </c>
    </row>
    <row r="10" spans="1:5" x14ac:dyDescent="0.3">
      <c r="A10" s="213">
        <f>Compilation!K28</f>
        <v>956.06601562500009</v>
      </c>
      <c r="B10" s="128">
        <f>Compilation!AA28</f>
        <v>203</v>
      </c>
      <c r="C10" s="119">
        <f>Compilation!L28</f>
        <v>2533.5749414062502</v>
      </c>
      <c r="D10" s="119">
        <f>Compilation!M28</f>
        <v>5067.1498828125004</v>
      </c>
      <c r="E10" s="214" t="str">
        <f>Compilation!B28</f>
        <v>Plat</v>
      </c>
    </row>
    <row r="11" spans="1:5" x14ac:dyDescent="0.3">
      <c r="A11" s="213">
        <f>Compilation!K18</f>
        <v>896.77462560000004</v>
      </c>
      <c r="B11" s="128">
        <f>Compilation!AA18</f>
        <v>188.5</v>
      </c>
      <c r="C11" s="119">
        <f>Compilation!L18</f>
        <v>2376.4527578400002</v>
      </c>
      <c r="D11" s="119">
        <f>Compilation!M18</f>
        <v>4752.9055156800005</v>
      </c>
      <c r="E11" s="214" t="str">
        <f>Compilation!B18</f>
        <v>Flambeau</v>
      </c>
    </row>
    <row r="12" spans="1:5" x14ac:dyDescent="0.3">
      <c r="A12" s="213">
        <f>Compilation!K20</f>
        <v>887.2292625</v>
      </c>
      <c r="B12" s="128">
        <f>Compilation!AA20</f>
        <v>199.35</v>
      </c>
      <c r="C12" s="119">
        <f>Compilation!L20</f>
        <v>2351.1575456249998</v>
      </c>
      <c r="D12" s="119">
        <f>Compilation!M20</f>
        <v>4702.3150912499996</v>
      </c>
      <c r="E12" s="214" t="str">
        <f>Compilation!B20</f>
        <v>Huilier</v>
      </c>
    </row>
    <row r="13" spans="1:5" x14ac:dyDescent="0.3">
      <c r="A13" s="213">
        <f>Compilation!K29</f>
        <v>687.40075729499995</v>
      </c>
      <c r="B13" s="128">
        <f>Compilation!AA29</f>
        <v>147.44999999999999</v>
      </c>
      <c r="C13" s="119">
        <f>Compilation!L29</f>
        <v>1821.6120068317498</v>
      </c>
      <c r="D13" s="119">
        <f>Compilation!M29</f>
        <v>3643.2240136634996</v>
      </c>
      <c r="E13" s="214" t="str">
        <f>Compilation!B29</f>
        <v>Plat</v>
      </c>
    </row>
    <row r="14" spans="1:5" x14ac:dyDescent="0.3">
      <c r="A14" s="213">
        <f>Compilation!K34</f>
        <v>650.11265298000001</v>
      </c>
      <c r="B14" s="128">
        <f>Compilation!AA34</f>
        <v>159.35</v>
      </c>
      <c r="C14" s="119">
        <f>Compilation!L34</f>
        <v>1722.7985303969999</v>
      </c>
      <c r="D14" s="119">
        <f>Compilation!M34</f>
        <v>3445.5970607939998</v>
      </c>
      <c r="E14" s="214" t="str">
        <f>Compilation!B34</f>
        <v>Sucrier</v>
      </c>
    </row>
    <row r="15" spans="1:5" x14ac:dyDescent="0.3">
      <c r="A15" s="213">
        <f>Compilation!K35</f>
        <v>642.47636250000005</v>
      </c>
      <c r="B15" s="128">
        <f>Compilation!AA35</f>
        <v>143.0625</v>
      </c>
      <c r="C15" s="119">
        <f>Compilation!L35</f>
        <v>1702.5623606250001</v>
      </c>
      <c r="D15" s="119">
        <f>Compilation!M35</f>
        <v>3405.1247212500002</v>
      </c>
      <c r="E15" s="214" t="str">
        <f>Compilation!B35</f>
        <v>Sucrier</v>
      </c>
    </row>
    <row r="16" spans="1:5" x14ac:dyDescent="0.3">
      <c r="A16" s="213">
        <f>Compilation!K19</f>
        <v>619.51854048000007</v>
      </c>
      <c r="B16" s="128">
        <f>Compilation!AA19</f>
        <v>172.125</v>
      </c>
      <c r="C16" s="119">
        <f>Compilation!L19</f>
        <v>1641.7241322720001</v>
      </c>
      <c r="D16" s="119">
        <f>Compilation!M19</f>
        <v>3283.4482645440003</v>
      </c>
      <c r="E16" s="214" t="str">
        <f>Compilation!B19</f>
        <v>Flambeau</v>
      </c>
    </row>
    <row r="17" spans="1:5" x14ac:dyDescent="0.3">
      <c r="A17" s="213">
        <f>Compilation!K21</f>
        <v>615.65144466000004</v>
      </c>
      <c r="B17" s="128">
        <f>Compilation!AA21</f>
        <v>143.1875</v>
      </c>
      <c r="C17" s="119">
        <f>Compilation!L21</f>
        <v>1631.4763283490001</v>
      </c>
      <c r="D17" s="119">
        <f>Compilation!M21</f>
        <v>3262.9526566980003</v>
      </c>
      <c r="E17" s="214" t="str">
        <f>Compilation!B21</f>
        <v>Huilier (porte)</v>
      </c>
    </row>
    <row r="18" spans="1:5" x14ac:dyDescent="0.3">
      <c r="A18" s="213">
        <f>Compilation!K22</f>
        <v>458.91168750000003</v>
      </c>
      <c r="B18" s="128">
        <f>Compilation!AA22</f>
        <v>109.675</v>
      </c>
      <c r="C18" s="119">
        <f>Compilation!L22</f>
        <v>1216.115971875</v>
      </c>
      <c r="D18" s="119">
        <f>Compilation!M22</f>
        <v>2432.23194375</v>
      </c>
      <c r="E18" s="214" t="str">
        <f>Compilation!B22</f>
        <v>Jatte</v>
      </c>
    </row>
    <row r="19" spans="1:5" x14ac:dyDescent="0.3">
      <c r="A19" s="213">
        <f>Compilation!K23</f>
        <v>458.91168750000003</v>
      </c>
      <c r="B19" s="128">
        <f>Compilation!AA23</f>
        <v>109.675</v>
      </c>
      <c r="C19" s="119">
        <f>Compilation!L23</f>
        <v>1216.115971875</v>
      </c>
      <c r="D19" s="119">
        <f>Compilation!M23</f>
        <v>2432.23194375</v>
      </c>
      <c r="E19" s="214" t="str">
        <f>Compilation!B23</f>
        <v>Jatte</v>
      </c>
    </row>
    <row r="20" spans="1:5" x14ac:dyDescent="0.3">
      <c r="A20" s="213">
        <f>Compilation!K33</f>
        <v>407.26882560000001</v>
      </c>
      <c r="B20" s="129">
        <f>Compilation!AA33</f>
        <v>89.104166666666657</v>
      </c>
      <c r="C20" s="119">
        <f>Compilation!L33</f>
        <v>1079.26238784</v>
      </c>
      <c r="D20" s="119">
        <f>Compilation!M33</f>
        <v>2158.5247756799999</v>
      </c>
      <c r="E20" s="214" t="str">
        <f>Compilation!B33</f>
        <v>Saucière</v>
      </c>
    </row>
    <row r="21" spans="1:5" x14ac:dyDescent="0.3">
      <c r="A21" s="213">
        <f>Compilation!K4</f>
        <v>367.12935000000004</v>
      </c>
      <c r="B21" s="129">
        <f>Compilation!AA4</f>
        <v>105</v>
      </c>
      <c r="C21" s="119">
        <f>Compilation!L4</f>
        <v>972.89277750000008</v>
      </c>
      <c r="D21" s="119">
        <f>Compilation!M4</f>
        <v>1945.7855550000002</v>
      </c>
      <c r="E21" s="214" t="str">
        <f>Compilation!B4</f>
        <v>Cafetière</v>
      </c>
    </row>
    <row r="22" spans="1:5" x14ac:dyDescent="0.3">
      <c r="A22" s="213">
        <f>Compilation!K15</f>
        <v>336.53523749999999</v>
      </c>
      <c r="B22" s="128">
        <f>Compilation!AA15</f>
        <v>73.5625</v>
      </c>
      <c r="C22" s="119">
        <f>Compilation!L15</f>
        <v>891.81837937499995</v>
      </c>
      <c r="D22" s="119">
        <f>Compilation!M15</f>
        <v>1783.6367587499999</v>
      </c>
      <c r="E22" s="214" t="str">
        <f>Compilation!B15</f>
        <v>Cuiller à pot</v>
      </c>
    </row>
    <row r="23" spans="1:5" x14ac:dyDescent="0.3">
      <c r="A23" s="213">
        <f>Compilation!K16</f>
        <v>282.98330297999996</v>
      </c>
      <c r="B23" s="128">
        <f>Compilation!AA16</f>
        <v>67.75</v>
      </c>
      <c r="C23" s="119">
        <f>Compilation!L16</f>
        <v>749.90575289699984</v>
      </c>
      <c r="D23" s="119">
        <f>Compilation!M16</f>
        <v>1499.8115057939997</v>
      </c>
      <c r="E23" s="214" t="str">
        <f>Compilation!B16</f>
        <v>Cuiller à potage</v>
      </c>
    </row>
    <row r="24" spans="1:5" x14ac:dyDescent="0.3">
      <c r="A24" s="213">
        <f>Compilation!K32</f>
        <v>187.38282024</v>
      </c>
      <c r="B24" s="128">
        <f>Compilation!AA32</f>
        <v>40.387500000000003</v>
      </c>
      <c r="C24" s="119">
        <f>Compilation!L32</f>
        <v>496.564473636</v>
      </c>
      <c r="D24" s="119">
        <f>Compilation!M32</f>
        <v>993.128947272</v>
      </c>
      <c r="E24" s="214" t="str">
        <f>Compilation!B32</f>
        <v>Salière</v>
      </c>
    </row>
    <row r="25" spans="1:5" x14ac:dyDescent="0.3">
      <c r="A25" s="213">
        <f>Compilation!K17</f>
        <v>160.60685298000001</v>
      </c>
      <c r="B25" s="128">
        <f>Compilation!AA17</f>
        <v>36.75</v>
      </c>
      <c r="C25" s="119">
        <f>Compilation!L17</f>
        <v>425.60816039700001</v>
      </c>
      <c r="D25" s="119">
        <f>Compilation!M17</f>
        <v>851.21632079400001</v>
      </c>
      <c r="E25" s="214" t="str">
        <f>Compilation!B17</f>
        <v>Cuiller à ragoût</v>
      </c>
    </row>
    <row r="26" spans="1:5" x14ac:dyDescent="0.3">
      <c r="A26" s="213">
        <f>Compilation!K6</f>
        <v>119.50060342500001</v>
      </c>
      <c r="B26" s="129">
        <f>Compilation!AA6</f>
        <v>9.0625</v>
      </c>
      <c r="C26" s="119">
        <f>Compilation!L6</f>
        <v>316.67659907625</v>
      </c>
      <c r="D26" s="119">
        <f>Compilation!M6</f>
        <v>633.3531981525</v>
      </c>
      <c r="E26" s="214" t="str">
        <f>Compilation!B6</f>
        <v>Couteau</v>
      </c>
    </row>
    <row r="27" spans="1:5" x14ac:dyDescent="0.3">
      <c r="A27" s="213">
        <f>Compilation!K5</f>
        <v>107.05491846000001</v>
      </c>
      <c r="B27" s="129">
        <f>Compilation!AA5</f>
        <v>22.966666666666665</v>
      </c>
      <c r="C27" s="119">
        <f>Compilation!L5</f>
        <v>283.69553391900001</v>
      </c>
      <c r="D27" s="119">
        <f>Compilation!M5</f>
        <v>567.39106783800003</v>
      </c>
      <c r="E27" s="214" t="str">
        <f>Compilation!B5</f>
        <v>Coquetier</v>
      </c>
    </row>
    <row r="28" spans="1:5" x14ac:dyDescent="0.3">
      <c r="A28" s="213">
        <f>Compilation!K14</f>
        <v>101.3277006</v>
      </c>
      <c r="B28" s="129">
        <f>Compilation!AA14</f>
        <v>28.983333333333334</v>
      </c>
      <c r="C28" s="119">
        <f>Compilation!L14</f>
        <v>268.51840658999998</v>
      </c>
      <c r="D28" s="119">
        <f>Compilation!M14</f>
        <v>537.03681317999997</v>
      </c>
      <c r="E28" s="214" t="str">
        <f>Compilation!B14</f>
        <v>Cuiller à olives</v>
      </c>
    </row>
    <row r="29" spans="1:5" x14ac:dyDescent="0.3">
      <c r="A29" s="213">
        <f>Compilation!K13</f>
        <v>87.311517859999995</v>
      </c>
      <c r="B29" s="129">
        <f>Compilation!AA13</f>
        <v>18.566666666666666</v>
      </c>
      <c r="C29" s="119">
        <f>Compilation!L13</f>
        <v>231.37552232899998</v>
      </c>
      <c r="D29" s="119">
        <f>Compilation!M13</f>
        <v>462.75104465799996</v>
      </c>
      <c r="E29" s="214" t="str">
        <f>Compilation!B13</f>
        <v>Cuiller</v>
      </c>
    </row>
    <row r="30" spans="1:5" x14ac:dyDescent="0.3">
      <c r="A30" s="213">
        <f>Compilation!K8</f>
        <v>85.724703224999999</v>
      </c>
      <c r="B30" s="129">
        <f>Compilation!AA8</f>
        <v>21.539583333333329</v>
      </c>
      <c r="C30" s="119">
        <f>Compilation!L8</f>
        <v>227.17046354624998</v>
      </c>
      <c r="D30" s="119">
        <f>Compilation!M8</f>
        <v>454.34092709249995</v>
      </c>
      <c r="E30" s="214" t="str">
        <f>Compilation!B8</f>
        <v>Cuiller Fourchette (6+6)</v>
      </c>
    </row>
    <row r="31" spans="1:5" x14ac:dyDescent="0.3">
      <c r="A31" s="213">
        <f>Compilation!K7</f>
        <v>84.447908929999997</v>
      </c>
      <c r="B31" s="129">
        <f>Compilation!AA7</f>
        <v>12.825000000000001</v>
      </c>
      <c r="C31" s="119">
        <f>Compilation!L7</f>
        <v>223.78695866449999</v>
      </c>
      <c r="D31" s="119">
        <f>Compilation!M7</f>
        <v>447.57391732899998</v>
      </c>
      <c r="E31" s="214" t="str">
        <f>Compilation!B7</f>
        <v>Couteau</v>
      </c>
    </row>
    <row r="32" spans="1:5" x14ac:dyDescent="0.3">
      <c r="A32" s="213">
        <f>Compilation!K9</f>
        <v>84.133809374999998</v>
      </c>
      <c r="B32" s="129">
        <f>Compilation!AA9</f>
        <v>22.75</v>
      </c>
      <c r="C32" s="119">
        <f>Compilation!L9</f>
        <v>222.95459484374999</v>
      </c>
      <c r="D32" s="119">
        <f>Compilation!M9</f>
        <v>445.90918968749997</v>
      </c>
      <c r="E32" s="214" t="str">
        <f>Compilation!B9</f>
        <v>Cuiller Fourchette (2+2)</v>
      </c>
    </row>
    <row r="33" spans="1:5" x14ac:dyDescent="0.3">
      <c r="A33" s="213">
        <f>Compilation!K10</f>
        <v>81.902478770000002</v>
      </c>
      <c r="B33" s="129">
        <f>Compilation!AA10</f>
        <v>22.083333333333332</v>
      </c>
      <c r="C33" s="119">
        <f>Compilation!L10</f>
        <v>217.0415687405</v>
      </c>
      <c r="D33" s="119">
        <f>Compilation!M10</f>
        <v>434.08313748099999</v>
      </c>
      <c r="E33" s="214" t="str">
        <f>Compilation!B10</f>
        <v>Cuiller Fourchette (6+6)</v>
      </c>
    </row>
    <row r="34" spans="1:5" x14ac:dyDescent="0.3">
      <c r="A34" s="213">
        <f>Compilation!K11</f>
        <v>81.743389384999986</v>
      </c>
      <c r="B34" s="129">
        <f>Compilation!AA11</f>
        <v>20.372916666666665</v>
      </c>
      <c r="C34" s="119">
        <f>Compilation!L11</f>
        <v>216.61998187024994</v>
      </c>
      <c r="D34" s="119">
        <f>Compilation!M11</f>
        <v>433.23996374049989</v>
      </c>
      <c r="E34" s="214" t="str">
        <f>Compilation!B11</f>
        <v>Cuiller Fourchette (6+6)</v>
      </c>
    </row>
    <row r="35" spans="1:5" x14ac:dyDescent="0.3">
      <c r="A35" s="213">
        <f>Compilation!K12</f>
        <v>44.614374454999997</v>
      </c>
      <c r="B35" s="129">
        <f>Compilation!AA12</f>
        <v>9.0690972222222221</v>
      </c>
      <c r="C35" s="119">
        <f>Compilation!L12</f>
        <v>118.22809230574998</v>
      </c>
      <c r="D35" s="119">
        <f>Compilation!M12</f>
        <v>236.45618461149996</v>
      </c>
      <c r="E35" s="214" t="str">
        <f>Compilation!B12</f>
        <v>Cuiller Fourchette (6+6)</v>
      </c>
    </row>
    <row r="36" spans="1:5" s="123" customFormat="1" ht="13.5" x14ac:dyDescent="0.3">
      <c r="A36" s="215">
        <f>Compilation!H38</f>
        <v>34</v>
      </c>
      <c r="B36" s="130">
        <f>Compilation!Z38</f>
        <v>34</v>
      </c>
      <c r="C36" s="123">
        <f>Compilation!L38</f>
        <v>34</v>
      </c>
      <c r="D36" s="123">
        <f>Compilation!M38</f>
        <v>34</v>
      </c>
      <c r="E36" s="216">
        <f>Compilation!B38</f>
        <v>34</v>
      </c>
    </row>
    <row r="37" spans="1:5" x14ac:dyDescent="0.3">
      <c r="A37" s="217" t="str">
        <f>Compilation!H40</f>
        <v>Total</v>
      </c>
      <c r="B37" s="142"/>
      <c r="C37" s="120" t="str">
        <f>Compilation!L42</f>
        <v>&gt;5000$</v>
      </c>
      <c r="D37" s="120" t="str">
        <f>Compilation!M42</f>
        <v>&gt;10000$</v>
      </c>
      <c r="E37" s="218" t="str">
        <f>Compilation!Z40</f>
        <v>Orf #</v>
      </c>
    </row>
    <row r="38" spans="1:5" x14ac:dyDescent="0.3">
      <c r="A38" s="219">
        <f>Compilation!H41</f>
        <v>36645.334249020001</v>
      </c>
      <c r="B38" s="125"/>
      <c r="C38" s="121">
        <f>Compilation!L43</f>
        <v>2</v>
      </c>
      <c r="D38" s="121">
        <f>Compilation!M43</f>
        <v>2</v>
      </c>
      <c r="E38" s="220">
        <f>Compilation!Z41</f>
        <v>8136.2333333333336</v>
      </c>
    </row>
    <row r="39" spans="1:5" x14ac:dyDescent="0.3">
      <c r="A39" s="221">
        <f>Compilation!H42</f>
        <v>0</v>
      </c>
      <c r="B39" s="125"/>
      <c r="C39" s="120" t="str">
        <f>Compilation!L44</f>
        <v>&gt;4000$</v>
      </c>
      <c r="D39" s="120" t="str">
        <f>Compilation!M44</f>
        <v>&gt;7500$</v>
      </c>
      <c r="E39" s="218" t="str">
        <f>Compilation!Z42</f>
        <v>VenteT #</v>
      </c>
    </row>
    <row r="40" spans="1:5" x14ac:dyDescent="0.3">
      <c r="A40" s="222" t="str">
        <f>Compilation!J40</f>
        <v>1g $CAN</v>
      </c>
      <c r="B40" s="124"/>
      <c r="C40" s="122">
        <f>Compilation!L45</f>
        <v>2</v>
      </c>
      <c r="D40" s="122">
        <f>Compilation!M45</f>
        <v>2</v>
      </c>
      <c r="E40" s="223">
        <f>Compilation!Z43</f>
        <v>26986.14</v>
      </c>
    </row>
    <row r="41" spans="1:5" x14ac:dyDescent="0.3">
      <c r="A41" s="222">
        <f>Compilation!J41</f>
        <v>2.65</v>
      </c>
      <c r="B41" s="125"/>
      <c r="C41" s="121" t="str">
        <f>Compilation!L46</f>
        <v>&gt;3000$</v>
      </c>
      <c r="D41" s="121" t="str">
        <f>Compilation!M46</f>
        <v>&gt;5000$</v>
      </c>
      <c r="E41" s="220" t="str">
        <f>Compilation!Z44</f>
        <v>Orf %</v>
      </c>
    </row>
    <row r="42" spans="1:5" x14ac:dyDescent="0.3">
      <c r="A42" s="224" t="str">
        <f>Compilation!J42</f>
        <v>Total</v>
      </c>
      <c r="B42" s="126"/>
      <c r="C42" s="121">
        <f>Compilation!L47</f>
        <v>1</v>
      </c>
      <c r="D42" s="121">
        <f>Compilation!M47</f>
        <v>5</v>
      </c>
      <c r="E42" s="225">
        <f>Compilation!Z45</f>
        <v>0.30149674363704232</v>
      </c>
    </row>
    <row r="43" spans="1:5" x14ac:dyDescent="0.3">
      <c r="A43" s="226">
        <f>Compilation!J43</f>
        <v>97110.135759903016</v>
      </c>
      <c r="B43" s="125"/>
      <c r="C43" s="120" t="str">
        <f>Compilation!L48</f>
        <v>&gt;2000$</v>
      </c>
      <c r="D43" s="120" t="str">
        <f>Compilation!M48</f>
        <v>&gt;2500$</v>
      </c>
      <c r="E43" s="218" t="str">
        <f>Compilation!Z46</f>
        <v>VenteT $</v>
      </c>
    </row>
    <row r="44" spans="1:5" x14ac:dyDescent="0.3">
      <c r="A44" s="222" t="str">
        <f>Compilation!J44</f>
        <v>Façon *2</v>
      </c>
      <c r="B44" s="127"/>
      <c r="C44" s="122">
        <f>Compilation!L49</f>
        <v>6</v>
      </c>
      <c r="D44" s="122">
        <f>Compilation!M49</f>
        <v>7</v>
      </c>
      <c r="E44" s="227">
        <f>Compilation!Z47</f>
        <v>644186.96260818874</v>
      </c>
    </row>
    <row r="45" spans="1:5" x14ac:dyDescent="0.3">
      <c r="A45" s="226">
        <f>Compilation!J45</f>
        <v>194220.27151980603</v>
      </c>
      <c r="C45" s="121" t="str">
        <f>Compilation!L50</f>
        <v>&gt;1000$</v>
      </c>
      <c r="D45" s="121" t="str">
        <f>Compilation!M50</f>
        <v>&gt;1000$</v>
      </c>
      <c r="E45" s="228"/>
    </row>
    <row r="46" spans="1:5" x14ac:dyDescent="0.3">
      <c r="A46" s="229"/>
      <c r="C46" s="121">
        <f>Compilation!L51</f>
        <v>8</v>
      </c>
      <c r="D46" s="121">
        <f>Compilation!M51</f>
        <v>6</v>
      </c>
      <c r="E46" s="228"/>
    </row>
    <row r="47" spans="1:5" x14ac:dyDescent="0.3">
      <c r="A47" s="229"/>
      <c r="C47" s="120" t="str">
        <f>Compilation!L52</f>
        <v>&gt;0$</v>
      </c>
      <c r="D47" s="120" t="str">
        <f>Compilation!M52</f>
        <v>&gt;0$</v>
      </c>
      <c r="E47" s="228"/>
    </row>
    <row r="48" spans="1:5" x14ac:dyDescent="0.3">
      <c r="A48" s="229"/>
      <c r="B48" s="230"/>
      <c r="C48" s="122">
        <f>Compilation!L53</f>
        <v>15</v>
      </c>
      <c r="D48" s="122">
        <f>Compilation!M53</f>
        <v>12</v>
      </c>
      <c r="E48" s="228"/>
    </row>
    <row r="49" spans="1:5" x14ac:dyDescent="0.3">
      <c r="A49" s="229"/>
      <c r="B49" s="230"/>
      <c r="C49" s="118" t="str">
        <f>Compilation!L54</f>
        <v>✓</v>
      </c>
      <c r="D49" s="118" t="str">
        <f>Compilation!M54</f>
        <v>✓</v>
      </c>
      <c r="E49" s="228"/>
    </row>
    <row r="50" spans="1:5" x14ac:dyDescent="0.3">
      <c r="A50" s="229"/>
      <c r="B50" s="230"/>
      <c r="C50" s="231"/>
      <c r="D50" s="231"/>
      <c r="E50" s="228"/>
    </row>
    <row r="51" spans="1:5" x14ac:dyDescent="0.3">
      <c r="A51" s="232" t="s">
        <v>39</v>
      </c>
      <c r="B51" s="136"/>
      <c r="C51" s="136" t="s">
        <v>147</v>
      </c>
      <c r="D51" s="136" t="s">
        <v>148</v>
      </c>
      <c r="E51" s="233" t="s">
        <v>0</v>
      </c>
    </row>
    <row r="52" spans="1:5" x14ac:dyDescent="0.3">
      <c r="A52" s="234">
        <v>593</v>
      </c>
      <c r="B52" s="137"/>
      <c r="C52" s="137">
        <f>A52*Compilation!$L$41</f>
        <v>1571.45</v>
      </c>
      <c r="D52" s="137">
        <f>C52*2</f>
        <v>3142.9</v>
      </c>
      <c r="E52" s="235" t="s">
        <v>196</v>
      </c>
    </row>
    <row r="53" spans="1:5" ht="15.5" thickBot="1" x14ac:dyDescent="0.35">
      <c r="A53" s="236">
        <v>148</v>
      </c>
      <c r="B53" s="237"/>
      <c r="C53" s="237">
        <f>A53*Compilation!$L$41</f>
        <v>392.2</v>
      </c>
      <c r="D53" s="237">
        <f>C53*2</f>
        <v>784.4</v>
      </c>
      <c r="E53" s="238" t="s">
        <v>56</v>
      </c>
    </row>
    <row r="54" spans="1:5" ht="15.5" thickTop="1" x14ac:dyDescent="0.3"/>
  </sheetData>
  <sortState xmlns:xlrd2="http://schemas.microsoft.com/office/spreadsheetml/2017/richdata2" ref="A2:E35">
    <sortCondition descending="1" ref="A2:A35"/>
  </sortState>
  <printOptions horizontalCentered="1"/>
  <pageMargins left="0.23622047244094491" right="0.23622047244094491" top="0.74803149606299213" bottom="0.74803149606299213" header="0.31496062992125984" footer="0.31496062992125984"/>
  <pageSetup paperSize="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57C4B-EC84-4FCF-B682-AFF6E745F059}">
  <dimension ref="A1:D37"/>
  <sheetViews>
    <sheetView showGridLines="0" workbookViewId="0">
      <selection activeCell="E1" sqref="E1"/>
    </sheetView>
  </sheetViews>
  <sheetFormatPr baseColWidth="10" defaultRowHeight="15" x14ac:dyDescent="0.3"/>
  <cols>
    <col min="1" max="1" width="5.73046875" style="2" bestFit="1" customWidth="1"/>
    <col min="2" max="2" width="24.19921875" style="13" bestFit="1" customWidth="1"/>
    <col min="3" max="3" width="10.6640625" style="13"/>
    <col min="4" max="4" width="10.3984375" style="75" bestFit="1" customWidth="1"/>
  </cols>
  <sheetData>
    <row r="1" spans="1:4" s="78" customFormat="1" ht="15.5" thickTop="1" x14ac:dyDescent="0.3">
      <c r="A1" s="159" t="str">
        <f>Compilation!S1</f>
        <v>Vd</v>
      </c>
      <c r="B1" s="255" t="str">
        <f>Compilation!V1</f>
        <v>Ao</v>
      </c>
      <c r="C1" s="255" t="str">
        <f>Compilation!U1</f>
        <v>Acheteur</v>
      </c>
      <c r="D1" s="256" t="str">
        <f>Compilation!AB1</f>
        <v>$AF</v>
      </c>
    </row>
    <row r="2" spans="1:4" x14ac:dyDescent="0.3">
      <c r="A2" s="161">
        <f>Compilation!S4</f>
        <v>70</v>
      </c>
      <c r="B2" s="46" t="str">
        <f>Compilation!V4</f>
        <v>Cafetière (1)</v>
      </c>
      <c r="C2" s="46" t="str">
        <f>Compilation!U4</f>
        <v>Dupont</v>
      </c>
      <c r="D2" s="257">
        <f>Compilation!AB4</f>
        <v>1945.7855550000002</v>
      </c>
    </row>
    <row r="3" spans="1:4" x14ac:dyDescent="0.3">
      <c r="A3" s="161">
        <f>Compilation!S14</f>
        <v>70</v>
      </c>
      <c r="B3" s="46" t="str">
        <f>Compilation!V14</f>
        <v>Cuiller à olives (2)</v>
      </c>
      <c r="C3" s="46" t="str">
        <f>Compilation!U14</f>
        <v>Dupont</v>
      </c>
      <c r="D3" s="257">
        <f>Compilation!AB14</f>
        <v>1074.0736263599999</v>
      </c>
    </row>
    <row r="4" spans="1:4" x14ac:dyDescent="0.3">
      <c r="A4" s="161">
        <f>Compilation!S19</f>
        <v>68</v>
      </c>
      <c r="B4" s="46" t="str">
        <f>Compilation!V19</f>
        <v>Flambeau (2)</v>
      </c>
      <c r="C4" s="46" t="str">
        <f>Compilation!U19</f>
        <v>Walon</v>
      </c>
      <c r="D4" s="257">
        <f>Compilation!AB19</f>
        <v>6566.8965290880005</v>
      </c>
    </row>
    <row r="5" spans="1:4" x14ac:dyDescent="0.3">
      <c r="A5" s="161">
        <f>Compilation!S9</f>
        <v>66.25</v>
      </c>
      <c r="B5" s="46" t="str">
        <f>Compilation!V9</f>
        <v>Cuiller Fourchette (2+2) (4)</v>
      </c>
      <c r="C5" s="46" t="str">
        <f>Compilation!U9</f>
        <v>Bailly</v>
      </c>
      <c r="D5" s="257">
        <f>Compilation!AB9</f>
        <v>1783.6367587499999</v>
      </c>
    </row>
    <row r="6" spans="1:4" x14ac:dyDescent="0.3">
      <c r="A6" s="161">
        <f>Compilation!S10</f>
        <v>66</v>
      </c>
      <c r="B6" s="46" t="str">
        <f>Compilation!V10</f>
        <v>Cuiller Fourchette (6+6) (12)</v>
      </c>
      <c r="C6" s="46" t="str">
        <f>Compilation!U10</f>
        <v>Fournel</v>
      </c>
      <c r="D6" s="257">
        <f>Compilation!AB10</f>
        <v>5208.9976497719999</v>
      </c>
    </row>
    <row r="7" spans="1:4" x14ac:dyDescent="0.3">
      <c r="A7" s="161">
        <f>Compilation!S8</f>
        <v>61.5</v>
      </c>
      <c r="B7" s="46" t="str">
        <f>Compilation!V8</f>
        <v>Cuiller Fourchette (6+6) (12)</v>
      </c>
      <c r="C7" s="46" t="str">
        <f>Compilation!U8</f>
        <v>Buron</v>
      </c>
      <c r="D7" s="257">
        <f>Compilation!AB8</f>
        <v>5452.0911251099997</v>
      </c>
    </row>
    <row r="8" spans="1:4" x14ac:dyDescent="0.3">
      <c r="A8" s="161">
        <f>Compilation!S11</f>
        <v>61</v>
      </c>
      <c r="B8" s="46" t="str">
        <f>Compilation!V11</f>
        <v>Cuiller Fourchette (6+6) (12)</v>
      </c>
      <c r="C8" s="46" t="str">
        <f>Compilation!U11</f>
        <v>Nicolet</v>
      </c>
      <c r="D8" s="257">
        <f>Compilation!AB11</f>
        <v>5198.8795648859996</v>
      </c>
    </row>
    <row r="9" spans="1:4" x14ac:dyDescent="0.3">
      <c r="A9" s="161">
        <f>Compilation!S34</f>
        <v>60</v>
      </c>
      <c r="B9" s="46" t="str">
        <f>Compilation!V34</f>
        <v>Sucrier (1)</v>
      </c>
      <c r="C9" s="46" t="str">
        <f>Compilation!U34</f>
        <v>Charly</v>
      </c>
      <c r="D9" s="257">
        <f>Compilation!AB34</f>
        <v>3445.5970607939998</v>
      </c>
    </row>
    <row r="10" spans="1:4" x14ac:dyDescent="0.3">
      <c r="A10" s="161">
        <f>Compilation!S16</f>
        <v>58.5</v>
      </c>
      <c r="B10" s="46" t="str">
        <f>Compilation!V16</f>
        <v>Cuiller à potage (1)</v>
      </c>
      <c r="C10" s="46" t="str">
        <f>Compilation!U16</f>
        <v>Francheville</v>
      </c>
      <c r="D10" s="257">
        <f>Compilation!AB16</f>
        <v>1499.8115057939997</v>
      </c>
    </row>
    <row r="11" spans="1:4" x14ac:dyDescent="0.3">
      <c r="A11" s="161">
        <f>Compilation!S22</f>
        <v>58.5</v>
      </c>
      <c r="B11" s="46" t="str">
        <f>Compilation!V22</f>
        <v>Jatte (2)</v>
      </c>
      <c r="C11" s="46" t="str">
        <f>Compilation!U22</f>
        <v>Lusignan</v>
      </c>
      <c r="D11" s="257">
        <f>Compilation!AB22</f>
        <v>4864.4638875000001</v>
      </c>
    </row>
    <row r="12" spans="1:4" x14ac:dyDescent="0.3">
      <c r="A12" s="161">
        <f>Compilation!S23</f>
        <v>58.5</v>
      </c>
      <c r="B12" s="46" t="str">
        <f>Compilation!V23</f>
        <v>Jatte (2)</v>
      </c>
      <c r="C12" s="46" t="str">
        <f>Compilation!U23</f>
        <v>Dumont</v>
      </c>
      <c r="D12" s="257">
        <f>Compilation!AB23</f>
        <v>4864.4638875000001</v>
      </c>
    </row>
    <row r="13" spans="1:4" x14ac:dyDescent="0.3">
      <c r="A13" s="161">
        <f>Compilation!S21</f>
        <v>58</v>
      </c>
      <c r="B13" s="46" t="str">
        <f>Compilation!V21</f>
        <v>Huilier (porte) (1)</v>
      </c>
      <c r="C13" s="46" t="str">
        <f>Compilation!U21</f>
        <v>Lestage</v>
      </c>
      <c r="D13" s="257">
        <f>Compilation!AB21</f>
        <v>3262.9526566980003</v>
      </c>
    </row>
    <row r="14" spans="1:4" x14ac:dyDescent="0.3">
      <c r="A14" s="161">
        <f>Compilation!S17</f>
        <v>56</v>
      </c>
      <c r="B14" s="46" t="str">
        <f>Compilation!V17</f>
        <v>Cuiller à ragoût (2)</v>
      </c>
      <c r="C14" s="46" t="str">
        <f>Compilation!U17</f>
        <v>Foucher</v>
      </c>
      <c r="D14" s="257">
        <f>Compilation!AB17</f>
        <v>1702.432641588</v>
      </c>
    </row>
    <row r="15" spans="1:4" x14ac:dyDescent="0.3">
      <c r="A15" s="161">
        <f>Compilation!S20</f>
        <v>55</v>
      </c>
      <c r="B15" s="46" t="str">
        <f>Compilation!V20</f>
        <v>Huilier (1)</v>
      </c>
      <c r="C15" s="46" t="str">
        <f>Compilation!U20</f>
        <v>Senneville</v>
      </c>
      <c r="D15" s="257">
        <f>Compilation!AB20</f>
        <v>4702.3150912499996</v>
      </c>
    </row>
    <row r="16" spans="1:4" x14ac:dyDescent="0.3">
      <c r="A16" s="161">
        <f>Compilation!S30</f>
        <v>54.5</v>
      </c>
      <c r="B16" s="46" t="str">
        <f>Compilation!V30</f>
        <v>Plat ovale (2)</v>
      </c>
      <c r="C16" s="46" t="str">
        <f>Compilation!U30</f>
        <v>Cugnet</v>
      </c>
      <c r="D16" s="257">
        <f>Compilation!AB30</f>
        <v>10762.529061816</v>
      </c>
    </row>
    <row r="17" spans="1:4" x14ac:dyDescent="0.3">
      <c r="A17" s="161">
        <f>Compilation!S31</f>
        <v>54.5</v>
      </c>
      <c r="B17" s="46" t="str">
        <f>Compilation!V31</f>
        <v>Plat ovale (2)</v>
      </c>
      <c r="C17" s="46" t="str">
        <f>Compilation!U31</f>
        <v>Cugnet</v>
      </c>
      <c r="D17" s="257">
        <f>Compilation!AB31</f>
        <v>10762.529061816</v>
      </c>
    </row>
    <row r="18" spans="1:4" x14ac:dyDescent="0.3">
      <c r="A18" s="161">
        <f>Compilation!S35</f>
        <v>54.5</v>
      </c>
      <c r="B18" s="46" t="str">
        <f>Compilation!V35</f>
        <v>Sucrier (1)</v>
      </c>
      <c r="C18" s="46" t="str">
        <f>Compilation!U35</f>
        <v>Lacorne</v>
      </c>
      <c r="D18" s="257">
        <f>Compilation!AB35</f>
        <v>3405.1247212500002</v>
      </c>
    </row>
    <row r="19" spans="1:4" x14ac:dyDescent="0.3">
      <c r="A19" s="161">
        <f>Compilation!S3</f>
        <v>53.5</v>
      </c>
      <c r="B19" s="46" t="str">
        <f>Compilation!V3</f>
        <v>Aiguière (1)</v>
      </c>
      <c r="C19" s="46" t="str">
        <f>Compilation!U3</f>
        <v>Charest</v>
      </c>
      <c r="D19" s="257">
        <f>Compilation!AB3</f>
        <v>5958.7736836320009</v>
      </c>
    </row>
    <row r="20" spans="1:4" x14ac:dyDescent="0.3">
      <c r="A20" s="161">
        <f>Compilation!S15</f>
        <v>53.5</v>
      </c>
      <c r="B20" s="46" t="str">
        <f>Compilation!V15</f>
        <v>Cuiller à pot (1)</v>
      </c>
      <c r="C20" s="46" t="str">
        <f>Compilation!U15</f>
        <v>Cugnet</v>
      </c>
      <c r="D20" s="257">
        <f>Compilation!AB15</f>
        <v>1783.6367587499999</v>
      </c>
    </row>
    <row r="21" spans="1:4" x14ac:dyDescent="0.3">
      <c r="A21" s="161">
        <f>Compilation!S33</f>
        <v>53.5</v>
      </c>
      <c r="B21" s="46" t="str">
        <f>Compilation!V33</f>
        <v>Saucière (2)</v>
      </c>
      <c r="C21" s="46" t="str">
        <f>Compilation!U33</f>
        <v>Foucher</v>
      </c>
      <c r="D21" s="257">
        <f>Compilation!AB33</f>
        <v>4317.0495513599999</v>
      </c>
    </row>
    <row r="22" spans="1:4" x14ac:dyDescent="0.3">
      <c r="A22" s="161">
        <f>Compilation!S32</f>
        <v>52.75</v>
      </c>
      <c r="B22" s="46" t="str">
        <f>Compilation!V32</f>
        <v>Salière (4)</v>
      </c>
      <c r="C22" s="46" t="str">
        <f>Compilation!U32</f>
        <v>Walon</v>
      </c>
      <c r="D22" s="257">
        <f>Compilation!AB32</f>
        <v>3972.515789088</v>
      </c>
    </row>
    <row r="23" spans="1:4" x14ac:dyDescent="0.3">
      <c r="A23" s="161">
        <f>Compilation!S5</f>
        <v>52.5</v>
      </c>
      <c r="B23" s="46" t="str">
        <f>Compilation!V5</f>
        <v>Coquetier (1)</v>
      </c>
      <c r="C23" s="46" t="str">
        <f>Compilation!U5</f>
        <v>Walon</v>
      </c>
      <c r="D23" s="257">
        <f>Compilation!AB5</f>
        <v>567.39106783800003</v>
      </c>
    </row>
    <row r="24" spans="1:4" x14ac:dyDescent="0.3">
      <c r="A24" s="161">
        <f>Compilation!S13</f>
        <v>52.5</v>
      </c>
      <c r="B24" s="46" t="str">
        <f>Compilation!V13</f>
        <v>Cuiller (3)</v>
      </c>
      <c r="C24" s="46" t="str">
        <f>Compilation!U13</f>
        <v>Deschaillons</v>
      </c>
      <c r="D24" s="257">
        <f>Compilation!AB13</f>
        <v>1388.2531339739999</v>
      </c>
    </row>
    <row r="25" spans="1:4" x14ac:dyDescent="0.3">
      <c r="A25" s="161">
        <f>Compilation!S29</f>
        <v>52.5</v>
      </c>
      <c r="B25" s="46" t="str">
        <f>Compilation!V29</f>
        <v>Plat (4)</v>
      </c>
      <c r="C25" s="46" t="str">
        <f>Compilation!U29</f>
        <v>Foucher</v>
      </c>
      <c r="D25" s="257">
        <f>Compilation!AB29</f>
        <v>14572.896054653998</v>
      </c>
    </row>
    <row r="26" spans="1:4" x14ac:dyDescent="0.3">
      <c r="A26" s="161">
        <f>Compilation!S2</f>
        <v>52</v>
      </c>
      <c r="B26" s="46" t="str">
        <f>Compilation!V2</f>
        <v>Aiguière (1)</v>
      </c>
      <c r="C26" s="46" t="str">
        <f>Compilation!U2</f>
        <v>Perthuis</v>
      </c>
      <c r="D26" s="257">
        <f>Compilation!AB2</f>
        <v>6120.9224798820005</v>
      </c>
    </row>
    <row r="27" spans="1:4" x14ac:dyDescent="0.3">
      <c r="A27" s="161">
        <f>Compilation!S18</f>
        <v>52</v>
      </c>
      <c r="B27" s="46" t="str">
        <f>Compilation!V18</f>
        <v>Flambeau (2)</v>
      </c>
      <c r="C27" s="46" t="str">
        <f>Compilation!U18</f>
        <v>Fleury</v>
      </c>
      <c r="D27" s="257">
        <f>Compilation!AB18</f>
        <v>9505.8110313600009</v>
      </c>
    </row>
    <row r="28" spans="1:4" x14ac:dyDescent="0.3">
      <c r="A28" s="161">
        <f>Compilation!S24</f>
        <v>52</v>
      </c>
      <c r="B28" s="46" t="str">
        <f>Compilation!V24</f>
        <v>Plat (1)</v>
      </c>
      <c r="C28" s="46" t="str">
        <f>Compilation!U24</f>
        <v>Lamorille</v>
      </c>
      <c r="D28" s="257">
        <f>Compilation!AB24</f>
        <v>10985.386367382001</v>
      </c>
    </row>
    <row r="29" spans="1:4" x14ac:dyDescent="0.3">
      <c r="A29" s="161">
        <f>Compilation!S25</f>
        <v>52</v>
      </c>
      <c r="B29" s="46" t="str">
        <f>Compilation!V25</f>
        <v>Plat (1)</v>
      </c>
      <c r="C29" s="46" t="str">
        <f>Compilation!U25</f>
        <v>Cugnet</v>
      </c>
      <c r="D29" s="257">
        <f>Compilation!AB25</f>
        <v>10762.529061816</v>
      </c>
    </row>
    <row r="30" spans="1:4" x14ac:dyDescent="0.3">
      <c r="A30" s="161">
        <f>Compilation!S26</f>
        <v>52</v>
      </c>
      <c r="B30" s="46" t="str">
        <f>Compilation!V26</f>
        <v>Plat (1)</v>
      </c>
      <c r="C30" s="46" t="str">
        <f>Compilation!U26</f>
        <v>Charly</v>
      </c>
      <c r="D30" s="257">
        <f>Compilation!AB26</f>
        <v>9931.5489107940011</v>
      </c>
    </row>
    <row r="31" spans="1:4" x14ac:dyDescent="0.3">
      <c r="A31" s="161">
        <f>Compilation!S27</f>
        <v>52</v>
      </c>
      <c r="B31" s="46" t="str">
        <f>Compilation!V27</f>
        <v>Plat (1)</v>
      </c>
      <c r="C31" s="46" t="str">
        <f>Compilation!U27</f>
        <v>Perthuis</v>
      </c>
      <c r="D31" s="257">
        <f>Compilation!AB27</f>
        <v>9526.0472011320016</v>
      </c>
    </row>
    <row r="32" spans="1:4" x14ac:dyDescent="0.3">
      <c r="A32" s="161">
        <f>Compilation!S28</f>
        <v>52</v>
      </c>
      <c r="B32" s="46" t="str">
        <f>Compilation!V28</f>
        <v>Plat (4)</v>
      </c>
      <c r="C32" s="46" t="str">
        <f>Compilation!U28</f>
        <v>Guillemin</v>
      </c>
      <c r="D32" s="257">
        <f>Compilation!AB28</f>
        <v>20268.599531250002</v>
      </c>
    </row>
    <row r="33" spans="1:4" x14ac:dyDescent="0.3">
      <c r="A33" s="161">
        <f>Compilation!S12</f>
        <v>49.75</v>
      </c>
      <c r="B33" s="46" t="str">
        <f>Compilation!V12</f>
        <v>Cuiller Fourchette (6+6) (12)</v>
      </c>
      <c r="C33" s="46" t="str">
        <f>Compilation!U12</f>
        <v>Walon</v>
      </c>
      <c r="D33" s="257">
        <f>Compilation!AB12</f>
        <v>2837.4742153379998</v>
      </c>
    </row>
    <row r="34" spans="1:4" x14ac:dyDescent="0.3">
      <c r="A34" s="161">
        <f>Compilation!S7</f>
        <v>36.75</v>
      </c>
      <c r="B34" s="46" t="str">
        <f>Compilation!V7</f>
        <v>Couteau (6)</v>
      </c>
      <c r="C34" s="46" t="str">
        <f>Compilation!U7</f>
        <v>Foucault</v>
      </c>
      <c r="D34" s="257">
        <f>Compilation!AB7</f>
        <v>2685.4435039739997</v>
      </c>
    </row>
    <row r="35" spans="1:4" x14ac:dyDescent="0.3">
      <c r="A35" s="365">
        <f>Compilation!S6</f>
        <v>18.561187916026626</v>
      </c>
      <c r="B35" s="46" t="str">
        <f>Compilation!V6</f>
        <v>Couteau (4)</v>
      </c>
      <c r="C35" s="46" t="str">
        <f>Compilation!U6</f>
        <v>Saint-Louis</v>
      </c>
      <c r="D35" s="257">
        <f>Compilation!AB6</f>
        <v>2533.41279261</v>
      </c>
    </row>
    <row r="36" spans="1:4" s="133" customFormat="1" ht="14" thickBot="1" x14ac:dyDescent="0.35">
      <c r="A36" s="362">
        <f>Compilation!S41</f>
        <v>55.016505526941955</v>
      </c>
      <c r="B36" s="363" t="str">
        <f>Compilation!S40</f>
        <v>Moyenne</v>
      </c>
      <c r="C36" s="363"/>
      <c r="D36" s="364"/>
    </row>
    <row r="37" spans="1:4" ht="15.5" thickTop="1" x14ac:dyDescent="0.3"/>
  </sheetData>
  <sortState xmlns:xlrd2="http://schemas.microsoft.com/office/spreadsheetml/2017/richdata2" ref="A2:D35">
    <sortCondition descending="1" ref="A2:A35"/>
  </sortState>
  <printOptions horizontalCentered="1"/>
  <pageMargins left="0.23622047244094491" right="0.23622047244094491" top="0.74803149606299213" bottom="0.74803149606299213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03D8-4A4C-4CBA-A70E-6C27653A495B}">
  <sheetPr>
    <pageSetUpPr fitToPage="1"/>
  </sheetPr>
  <dimension ref="A1:I47"/>
  <sheetViews>
    <sheetView showGridLines="0" tabSelected="1" workbookViewId="0"/>
  </sheetViews>
  <sheetFormatPr baseColWidth="10" defaultRowHeight="15" x14ac:dyDescent="0.3"/>
  <cols>
    <col min="1" max="1" width="12.1328125" style="78" bestFit="1" customWidth="1"/>
    <col min="2" max="2" width="10.6640625" style="2"/>
    <col min="3" max="3" width="24.19921875" bestFit="1" customWidth="1"/>
    <col min="4" max="4" width="7.3984375" style="106" bestFit="1" customWidth="1"/>
    <col min="5" max="5" width="10.3984375" style="75" bestFit="1" customWidth="1"/>
    <col min="6" max="6" width="7.6640625" style="118" bestFit="1" customWidth="1"/>
    <col min="7" max="7" width="19.6640625" style="55" bestFit="1" customWidth="1"/>
    <col min="8" max="8" width="19.86328125" style="30" customWidth="1"/>
    <col min="9" max="9" width="9.1328125" style="112" customWidth="1"/>
  </cols>
  <sheetData>
    <row r="1" spans="1:9" s="133" customFormat="1" ht="14" thickTop="1" x14ac:dyDescent="0.3">
      <c r="A1" s="239" t="s">
        <v>176</v>
      </c>
      <c r="B1" s="166" t="str">
        <f>Compilation!U1</f>
        <v>Acheteur</v>
      </c>
      <c r="C1" s="166" t="str">
        <f>Compilation!V1</f>
        <v>Ao</v>
      </c>
      <c r="D1" s="240" t="str">
        <f>Compilation!Z1</f>
        <v>#d</v>
      </c>
      <c r="E1" s="252" t="str">
        <f>Compilation!AB1</f>
        <v>$AF</v>
      </c>
      <c r="F1" s="248" t="s">
        <v>145</v>
      </c>
      <c r="G1" s="132" t="str">
        <f>Compilation!AC1</f>
        <v>Note</v>
      </c>
      <c r="H1" s="133" t="s">
        <v>116</v>
      </c>
      <c r="I1" s="134" t="s">
        <v>117</v>
      </c>
    </row>
    <row r="2" spans="1:9" x14ac:dyDescent="0.3">
      <c r="A2" s="385">
        <f>SUM(E2:E5)</f>
        <v>34071.223944197998</v>
      </c>
      <c r="B2" s="351" t="str">
        <f>Compilation!U25</f>
        <v>Cugnet</v>
      </c>
      <c r="C2" s="352" t="str">
        <f>Compilation!V25</f>
        <v>Plat (1)</v>
      </c>
      <c r="D2" s="353">
        <f>Compilation!Z25</f>
        <v>431.4375</v>
      </c>
      <c r="E2" s="354">
        <f>Compilation!AB25</f>
        <v>10762.529061816</v>
      </c>
      <c r="F2" s="249">
        <f>E2/D2</f>
        <v>24.945743153564536</v>
      </c>
      <c r="G2" s="113"/>
      <c r="H2" s="375" t="s">
        <v>121</v>
      </c>
      <c r="I2" s="110" t="s">
        <v>115</v>
      </c>
    </row>
    <row r="3" spans="1:9" x14ac:dyDescent="0.3">
      <c r="A3" s="386"/>
      <c r="B3" s="351" t="str">
        <f>Compilation!U30</f>
        <v>Cugnet</v>
      </c>
      <c r="C3" s="352" t="str">
        <f>Compilation!V30</f>
        <v>Plat ovale (2)</v>
      </c>
      <c r="D3" s="353">
        <f>Compilation!Z30</f>
        <v>452.17499999999995</v>
      </c>
      <c r="E3" s="354">
        <f>Compilation!AB30</f>
        <v>10762.529061816</v>
      </c>
      <c r="F3" s="249">
        <f t="shared" ref="F3:F35" si="0">E3/D3</f>
        <v>23.801689748031183</v>
      </c>
      <c r="G3" s="113"/>
      <c r="H3" s="376"/>
      <c r="I3" s="111"/>
    </row>
    <row r="4" spans="1:9" x14ac:dyDescent="0.3">
      <c r="A4" s="386"/>
      <c r="B4" s="351" t="str">
        <f>Compilation!U31</f>
        <v>Cugnet</v>
      </c>
      <c r="C4" s="352" t="str">
        <f>Compilation!V31</f>
        <v>Plat ovale (2)</v>
      </c>
      <c r="D4" s="353">
        <f>Compilation!Z31</f>
        <v>452.17499999999995</v>
      </c>
      <c r="E4" s="354">
        <f>Compilation!AB31</f>
        <v>10762.529061816</v>
      </c>
      <c r="F4" s="249">
        <f t="shared" si="0"/>
        <v>23.801689748031183</v>
      </c>
      <c r="G4" s="113"/>
      <c r="H4" s="376"/>
      <c r="I4" s="111"/>
    </row>
    <row r="5" spans="1:9" x14ac:dyDescent="0.3">
      <c r="A5" s="387"/>
      <c r="B5" s="351" t="str">
        <f>Compilation!U15</f>
        <v>Cugnet</v>
      </c>
      <c r="C5" s="352" t="str">
        <f>Compilation!V15</f>
        <v>Cuiller à pot (1)</v>
      </c>
      <c r="D5" s="353">
        <f>Compilation!Z15</f>
        <v>73.5625</v>
      </c>
      <c r="E5" s="354">
        <f>Compilation!AB15</f>
        <v>1783.6367587499999</v>
      </c>
      <c r="F5" s="249">
        <f t="shared" si="0"/>
        <v>24.246548971962614</v>
      </c>
      <c r="G5" s="113"/>
      <c r="H5" s="377"/>
      <c r="I5" s="111"/>
    </row>
    <row r="6" spans="1:9" x14ac:dyDescent="0.3">
      <c r="A6" s="383">
        <f>SUM(E6:E8)</f>
        <v>20592.378247601999</v>
      </c>
      <c r="B6" s="347" t="str">
        <f>Compilation!U29</f>
        <v>Foucher</v>
      </c>
      <c r="C6" s="348" t="str">
        <f>Compilation!V29</f>
        <v>Plat (4)</v>
      </c>
      <c r="D6" s="349">
        <f>Compilation!Z29</f>
        <v>589.79999999999995</v>
      </c>
      <c r="E6" s="350">
        <f>Compilation!AB29</f>
        <v>14572.896054653998</v>
      </c>
      <c r="F6" s="249">
        <f t="shared" si="0"/>
        <v>24.708199482288911</v>
      </c>
      <c r="G6" s="113"/>
      <c r="H6" s="378" t="s">
        <v>119</v>
      </c>
      <c r="I6" s="110" t="s">
        <v>120</v>
      </c>
    </row>
    <row r="7" spans="1:9" x14ac:dyDescent="0.3">
      <c r="A7" s="390"/>
      <c r="B7" s="347" t="str">
        <f>Compilation!U33</f>
        <v>Foucher</v>
      </c>
      <c r="C7" s="348" t="str">
        <f>Compilation!V33</f>
        <v>Saucière (2)</v>
      </c>
      <c r="D7" s="349">
        <f>Compilation!Z33</f>
        <v>178.20833333333331</v>
      </c>
      <c r="E7" s="350">
        <f>Compilation!AB33</f>
        <v>4317.0495513599999</v>
      </c>
      <c r="F7" s="249">
        <f t="shared" si="0"/>
        <v>24.224734447659575</v>
      </c>
      <c r="G7" s="113"/>
      <c r="H7" s="379"/>
      <c r="I7" s="111"/>
    </row>
    <row r="8" spans="1:9" x14ac:dyDescent="0.3">
      <c r="A8" s="384"/>
      <c r="B8" s="347" t="str">
        <f>Compilation!U17</f>
        <v>Foucher</v>
      </c>
      <c r="C8" s="348" t="str">
        <f>Compilation!V17</f>
        <v>Cuiller à ragoût (2)</v>
      </c>
      <c r="D8" s="349">
        <f>Compilation!Z17</f>
        <v>73.5</v>
      </c>
      <c r="E8" s="350">
        <f>Compilation!AB17</f>
        <v>1702.432641588</v>
      </c>
      <c r="F8" s="249">
        <f t="shared" si="0"/>
        <v>23.162348865142857</v>
      </c>
      <c r="G8" s="113"/>
      <c r="H8" s="380"/>
      <c r="I8" s="111"/>
    </row>
    <row r="9" spans="1:9" x14ac:dyDescent="0.3">
      <c r="A9" s="355">
        <f>E9</f>
        <v>20268.599531250002</v>
      </c>
      <c r="B9" s="351" t="str">
        <f>Compilation!U28</f>
        <v>Guillemin</v>
      </c>
      <c r="C9" s="352" t="str">
        <f>Compilation!V28</f>
        <v>Plat (4)</v>
      </c>
      <c r="D9" s="353">
        <f>Compilation!Z28</f>
        <v>812</v>
      </c>
      <c r="E9" s="354">
        <f>Compilation!AB28</f>
        <v>20268.599531250002</v>
      </c>
      <c r="F9" s="249">
        <f t="shared" si="0"/>
        <v>24.961329471982761</v>
      </c>
      <c r="G9" s="113"/>
      <c r="H9" s="108" t="s">
        <v>122</v>
      </c>
      <c r="I9" s="109" t="s">
        <v>123</v>
      </c>
    </row>
    <row r="10" spans="1:9" x14ac:dyDescent="0.3">
      <c r="A10" s="383">
        <f>SUM(E10:E11)</f>
        <v>15646.969681014001</v>
      </c>
      <c r="B10" s="347" t="str">
        <f>Compilation!U27</f>
        <v>Perthuis</v>
      </c>
      <c r="C10" s="348" t="str">
        <f>Compilation!V27</f>
        <v>Plat (1)</v>
      </c>
      <c r="D10" s="349">
        <f>Compilation!Z27</f>
        <v>381.85</v>
      </c>
      <c r="E10" s="350">
        <f>Compilation!AB27</f>
        <v>9526.0472011320016</v>
      </c>
      <c r="F10" s="249">
        <f t="shared" si="0"/>
        <v>24.947092316700278</v>
      </c>
      <c r="G10" s="113"/>
      <c r="H10" s="378" t="s">
        <v>124</v>
      </c>
      <c r="I10" s="109" t="s">
        <v>125</v>
      </c>
    </row>
    <row r="11" spans="1:9" x14ac:dyDescent="0.3">
      <c r="A11" s="384"/>
      <c r="B11" s="347" t="str">
        <f>Compilation!U2</f>
        <v>Perthuis</v>
      </c>
      <c r="C11" s="348" t="str">
        <f>Compilation!V2</f>
        <v>Aiguière (1)</v>
      </c>
      <c r="D11" s="349">
        <f>Compilation!Z2</f>
        <v>245.375</v>
      </c>
      <c r="E11" s="350">
        <f>Compilation!AB2</f>
        <v>6120.9224798820005</v>
      </c>
      <c r="F11" s="249">
        <f t="shared" si="0"/>
        <v>24.945175669412126</v>
      </c>
      <c r="G11" s="113"/>
      <c r="H11" s="381"/>
      <c r="I11" s="111"/>
    </row>
    <row r="12" spans="1:9" x14ac:dyDescent="0.3">
      <c r="A12" s="385">
        <f>SUM(E12:E15)</f>
        <v>13944.277601352</v>
      </c>
      <c r="B12" s="351" t="str">
        <f>Compilation!U19</f>
        <v>Walon</v>
      </c>
      <c r="C12" s="352" t="str">
        <f>Compilation!V19</f>
        <v>Flambeau (2)</v>
      </c>
      <c r="D12" s="353">
        <f>Compilation!Z19</f>
        <v>344.25</v>
      </c>
      <c r="E12" s="354">
        <f>Compilation!AB19</f>
        <v>6566.8965290880005</v>
      </c>
      <c r="F12" s="249">
        <f t="shared" si="0"/>
        <v>19.07595215421351</v>
      </c>
      <c r="G12" s="113"/>
      <c r="H12" s="378" t="s">
        <v>126</v>
      </c>
      <c r="I12" s="109" t="s">
        <v>146</v>
      </c>
    </row>
    <row r="13" spans="1:9" x14ac:dyDescent="0.3">
      <c r="A13" s="386"/>
      <c r="B13" s="351" t="str">
        <f>Compilation!U32</f>
        <v>Walon</v>
      </c>
      <c r="C13" s="352" t="str">
        <f>Compilation!V32</f>
        <v>Salière (4)</v>
      </c>
      <c r="D13" s="353">
        <f>Compilation!Z32</f>
        <v>161.55000000000001</v>
      </c>
      <c r="E13" s="354">
        <f>Compilation!AB32</f>
        <v>3972.515789088</v>
      </c>
      <c r="F13" s="249">
        <f t="shared" si="0"/>
        <v>24.590007979498605</v>
      </c>
      <c r="G13" s="113"/>
      <c r="H13" s="382"/>
      <c r="I13" s="111"/>
    </row>
    <row r="14" spans="1:9" x14ac:dyDescent="0.3">
      <c r="A14" s="386"/>
      <c r="B14" s="351" t="str">
        <f>Compilation!U5</f>
        <v>Walon</v>
      </c>
      <c r="C14" s="352" t="str">
        <f>Compilation!V5</f>
        <v>Coquetier (1)</v>
      </c>
      <c r="D14" s="353">
        <f>Compilation!Z5</f>
        <v>22.966666666666665</v>
      </c>
      <c r="E14" s="354">
        <f>Compilation!AB5</f>
        <v>567.39106783800003</v>
      </c>
      <c r="F14" s="249">
        <f t="shared" si="0"/>
        <v>24.704981183076924</v>
      </c>
      <c r="G14" s="113"/>
      <c r="H14" s="382"/>
      <c r="I14" s="111"/>
    </row>
    <row r="15" spans="1:9" x14ac:dyDescent="0.3">
      <c r="A15" s="387"/>
      <c r="B15" s="351" t="str">
        <f>Compilation!U12</f>
        <v>Walon</v>
      </c>
      <c r="C15" s="352" t="str">
        <f>Compilation!V12</f>
        <v>Cuiller Fourchette (6+6) (12)</v>
      </c>
      <c r="D15" s="353">
        <f>Compilation!Z12</f>
        <v>108.82916666666667</v>
      </c>
      <c r="E15" s="354">
        <f>Compilation!AB12</f>
        <v>2837.4742153379998</v>
      </c>
      <c r="F15" s="249">
        <f t="shared" si="0"/>
        <v>26.072736769444464</v>
      </c>
      <c r="G15" s="113" t="str">
        <f>Compilation!AC12</f>
        <v>Vermeil à la façon antique</v>
      </c>
      <c r="H15" s="381"/>
      <c r="I15" s="111"/>
    </row>
    <row r="16" spans="1:9" x14ac:dyDescent="0.3">
      <c r="A16" s="383">
        <f>SUM(E16:E17)</f>
        <v>13377.145971588001</v>
      </c>
      <c r="B16" s="347" t="str">
        <f>Compilation!U26</f>
        <v>Charly</v>
      </c>
      <c r="C16" s="348" t="str">
        <f>Compilation!V26</f>
        <v>Plat (1)</v>
      </c>
      <c r="D16" s="349">
        <f>Compilation!Z26</f>
        <v>398.15</v>
      </c>
      <c r="E16" s="350">
        <f>Compilation!AB26</f>
        <v>9931.5489107940011</v>
      </c>
      <c r="F16" s="249">
        <f t="shared" si="0"/>
        <v>24.944239384136637</v>
      </c>
      <c r="G16" s="113"/>
      <c r="H16" s="378" t="s">
        <v>128</v>
      </c>
      <c r="I16" s="109" t="s">
        <v>127</v>
      </c>
    </row>
    <row r="17" spans="1:9" x14ac:dyDescent="0.3">
      <c r="A17" s="384"/>
      <c r="B17" s="347" t="str">
        <f>Compilation!U34</f>
        <v>Charly</v>
      </c>
      <c r="C17" s="348" t="str">
        <f>Compilation!V34</f>
        <v>Sucrier (1)</v>
      </c>
      <c r="D17" s="349">
        <f>Compilation!Z34</f>
        <v>159.35</v>
      </c>
      <c r="E17" s="350">
        <f>Compilation!AB34</f>
        <v>3445.5970607939998</v>
      </c>
      <c r="F17" s="249">
        <f t="shared" si="0"/>
        <v>21.622824353900221</v>
      </c>
      <c r="G17" s="113"/>
      <c r="H17" s="381"/>
      <c r="I17" s="111"/>
    </row>
    <row r="18" spans="1:9" x14ac:dyDescent="0.3">
      <c r="A18" s="355">
        <f t="shared" ref="A18:A28" si="1">E18</f>
        <v>10985.386367382001</v>
      </c>
      <c r="B18" s="351" t="str">
        <f>Compilation!U24</f>
        <v>Lamorille</v>
      </c>
      <c r="C18" s="352" t="str">
        <f>Compilation!V24</f>
        <v>Plat (1)</v>
      </c>
      <c r="D18" s="353">
        <f>Compilation!Z24</f>
        <v>440.35</v>
      </c>
      <c r="E18" s="354">
        <f>Compilation!AB24</f>
        <v>10985.386367382001</v>
      </c>
      <c r="F18" s="249">
        <f t="shared" si="0"/>
        <v>24.946943039359603</v>
      </c>
      <c r="G18" s="113"/>
      <c r="H18" s="108"/>
      <c r="I18" s="111"/>
    </row>
    <row r="19" spans="1:9" x14ac:dyDescent="0.3">
      <c r="A19" s="241">
        <f t="shared" si="1"/>
        <v>9505.8110313600009</v>
      </c>
      <c r="B19" s="95" t="str">
        <f>Compilation!U18</f>
        <v>Fleury</v>
      </c>
      <c r="C19" s="96" t="str">
        <f>Compilation!V18</f>
        <v>Flambeau (2)</v>
      </c>
      <c r="D19" s="107">
        <f>Compilation!Z18</f>
        <v>377</v>
      </c>
      <c r="E19" s="97">
        <f>Compilation!AB18</f>
        <v>9505.8110313600009</v>
      </c>
      <c r="F19" s="249">
        <f t="shared" si="0"/>
        <v>25.214352868328916</v>
      </c>
      <c r="G19" s="113"/>
      <c r="H19" s="108"/>
      <c r="I19" s="111"/>
    </row>
    <row r="20" spans="1:9" x14ac:dyDescent="0.3">
      <c r="A20" s="241">
        <f t="shared" si="1"/>
        <v>5958.7736836320009</v>
      </c>
      <c r="B20" s="95" t="str">
        <f>Compilation!U3</f>
        <v>Charest</v>
      </c>
      <c r="C20" s="96" t="str">
        <f>Compilation!V3</f>
        <v>Aiguière (1)</v>
      </c>
      <c r="D20" s="107">
        <f>Compilation!Z3</f>
        <v>250.83750000000001</v>
      </c>
      <c r="E20" s="97">
        <f>Compilation!AB3</f>
        <v>5958.7736836320009</v>
      </c>
      <c r="F20" s="249">
        <f t="shared" si="0"/>
        <v>23.755513763420545</v>
      </c>
      <c r="G20" s="113"/>
      <c r="H20" s="108"/>
      <c r="I20" s="111"/>
    </row>
    <row r="21" spans="1:9" x14ac:dyDescent="0.3">
      <c r="A21" s="241">
        <f t="shared" si="1"/>
        <v>5452.0911251099997</v>
      </c>
      <c r="B21" s="95" t="str">
        <f>Compilation!U8</f>
        <v>Buron</v>
      </c>
      <c r="C21" s="96" t="str">
        <f>Compilation!V8</f>
        <v>Cuiller Fourchette (6+6) (12)</v>
      </c>
      <c r="D21" s="107">
        <f>Compilation!Z8</f>
        <v>258.47499999999997</v>
      </c>
      <c r="E21" s="97">
        <f>Compilation!AB8</f>
        <v>5452.0911251099997</v>
      </c>
      <c r="F21" s="249">
        <f t="shared" si="0"/>
        <v>21.093301576980366</v>
      </c>
      <c r="G21" s="113"/>
      <c r="H21" s="108"/>
      <c r="I21" s="111"/>
    </row>
    <row r="22" spans="1:9" x14ac:dyDescent="0.3">
      <c r="A22" s="241">
        <f t="shared" si="1"/>
        <v>5208.9976497719999</v>
      </c>
      <c r="B22" s="95" t="str">
        <f>Compilation!U10</f>
        <v>Fournel</v>
      </c>
      <c r="C22" s="96" t="str">
        <f>Compilation!V10</f>
        <v>Cuiller Fourchette (6+6) (12)</v>
      </c>
      <c r="D22" s="107">
        <f>Compilation!Z10</f>
        <v>265</v>
      </c>
      <c r="E22" s="97">
        <f>Compilation!AB10</f>
        <v>5208.9976497719999</v>
      </c>
      <c r="F22" s="249">
        <f t="shared" si="0"/>
        <v>19.656594904799999</v>
      </c>
      <c r="G22" s="113"/>
      <c r="H22" s="108"/>
      <c r="I22" s="111"/>
    </row>
    <row r="23" spans="1:9" x14ac:dyDescent="0.3">
      <c r="A23" s="241">
        <f t="shared" si="1"/>
        <v>5198.8795648859996</v>
      </c>
      <c r="B23" s="95" t="str">
        <f>Compilation!U11</f>
        <v>Nicolet</v>
      </c>
      <c r="C23" s="96" t="str">
        <f>Compilation!V11</f>
        <v>Cuiller Fourchette (6+6) (12)</v>
      </c>
      <c r="D23" s="107">
        <f>Compilation!Z11</f>
        <v>244.47499999999999</v>
      </c>
      <c r="E23" s="97">
        <f>Compilation!AB11</f>
        <v>5198.8795648859996</v>
      </c>
      <c r="F23" s="249">
        <f t="shared" si="0"/>
        <v>21.265485488847528</v>
      </c>
      <c r="G23" s="113"/>
      <c r="H23" s="108"/>
      <c r="I23" s="111"/>
    </row>
    <row r="24" spans="1:9" x14ac:dyDescent="0.3">
      <c r="A24" s="241">
        <f t="shared" si="1"/>
        <v>4864.4638875000001</v>
      </c>
      <c r="B24" s="95" t="str">
        <f>Compilation!U23</f>
        <v>Dumont</v>
      </c>
      <c r="C24" s="96" t="str">
        <f>Compilation!V23</f>
        <v>Jatte (2)</v>
      </c>
      <c r="D24" s="107">
        <f>Compilation!Z23</f>
        <v>219.35</v>
      </c>
      <c r="E24" s="97">
        <f>Compilation!AB23</f>
        <v>4864.4638875000001</v>
      </c>
      <c r="F24" s="249">
        <f t="shared" si="0"/>
        <v>22.176721620697517</v>
      </c>
      <c r="G24" s="113"/>
      <c r="H24" s="108"/>
      <c r="I24" s="111"/>
    </row>
    <row r="25" spans="1:9" x14ac:dyDescent="0.3">
      <c r="A25" s="241">
        <f t="shared" si="1"/>
        <v>4864.4638875000001</v>
      </c>
      <c r="B25" s="95" t="str">
        <f>Compilation!U22</f>
        <v>Lusignan</v>
      </c>
      <c r="C25" s="96" t="str">
        <f>Compilation!V22</f>
        <v>Jatte (2)</v>
      </c>
      <c r="D25" s="107">
        <f>Compilation!Z22</f>
        <v>219.35</v>
      </c>
      <c r="E25" s="97">
        <f>Compilation!AB22</f>
        <v>4864.4638875000001</v>
      </c>
      <c r="F25" s="249">
        <f t="shared" si="0"/>
        <v>22.176721620697517</v>
      </c>
      <c r="G25" s="113"/>
      <c r="H25" s="108"/>
      <c r="I25" s="111"/>
    </row>
    <row r="26" spans="1:9" x14ac:dyDescent="0.3">
      <c r="A26" s="241">
        <f t="shared" si="1"/>
        <v>4702.3150912499996</v>
      </c>
      <c r="B26" s="95" t="str">
        <f>Compilation!U20</f>
        <v>Senneville</v>
      </c>
      <c r="C26" s="96" t="str">
        <f>Compilation!V20</f>
        <v>Huilier (1)</v>
      </c>
      <c r="D26" s="107">
        <f>Compilation!Z20</f>
        <v>199.35</v>
      </c>
      <c r="E26" s="97">
        <f>Compilation!AB20</f>
        <v>4702.3150912499996</v>
      </c>
      <c r="F26" s="249">
        <f t="shared" si="0"/>
        <v>23.588237227238523</v>
      </c>
      <c r="G26" s="113"/>
      <c r="H26" s="108"/>
      <c r="I26" s="111"/>
    </row>
    <row r="27" spans="1:9" x14ac:dyDescent="0.3">
      <c r="A27" s="241">
        <f t="shared" si="1"/>
        <v>3405.1247212500002</v>
      </c>
      <c r="B27" s="95" t="str">
        <f>Compilation!U35</f>
        <v>Lacorne</v>
      </c>
      <c r="C27" s="96" t="str">
        <f>Compilation!V35</f>
        <v>Sucrier (1)</v>
      </c>
      <c r="D27" s="107">
        <f>Compilation!Z35</f>
        <v>143.0625</v>
      </c>
      <c r="E27" s="97">
        <f>Compilation!AB35</f>
        <v>3405.1247212500002</v>
      </c>
      <c r="F27" s="249">
        <f t="shared" si="0"/>
        <v>23.801658165137617</v>
      </c>
      <c r="G27" s="113"/>
      <c r="H27" s="108"/>
      <c r="I27" s="111"/>
    </row>
    <row r="28" spans="1:9" x14ac:dyDescent="0.3">
      <c r="A28" s="241">
        <f t="shared" si="1"/>
        <v>3262.9526566980003</v>
      </c>
      <c r="B28" s="95" t="str">
        <f>Compilation!U21</f>
        <v>Lestage</v>
      </c>
      <c r="C28" s="96" t="str">
        <f>Compilation!V21</f>
        <v>Huilier (porte) (1)</v>
      </c>
      <c r="D28" s="107">
        <f>Compilation!Z21</f>
        <v>143.1875</v>
      </c>
      <c r="E28" s="97">
        <f>Compilation!AB21</f>
        <v>3262.9526566980003</v>
      </c>
      <c r="F28" s="249">
        <f t="shared" si="0"/>
        <v>22.787971412993453</v>
      </c>
      <c r="G28" s="113"/>
      <c r="H28" s="108"/>
      <c r="I28" s="111"/>
    </row>
    <row r="29" spans="1:9" x14ac:dyDescent="0.3">
      <c r="A29" s="388">
        <f>SUM(E29:E30)</f>
        <v>3019.8591813600001</v>
      </c>
      <c r="B29" s="95" t="str">
        <f>Compilation!U4</f>
        <v>Dupont</v>
      </c>
      <c r="C29" s="96" t="str">
        <f>Compilation!V4</f>
        <v>Cafetière (1)</v>
      </c>
      <c r="D29" s="107">
        <f>Compilation!Z4</f>
        <v>105</v>
      </c>
      <c r="E29" s="97">
        <f>Compilation!AB4</f>
        <v>1945.7855550000002</v>
      </c>
      <c r="F29" s="249">
        <f t="shared" si="0"/>
        <v>18.531291000000003</v>
      </c>
      <c r="G29" s="113"/>
      <c r="H29" s="108"/>
      <c r="I29" s="111"/>
    </row>
    <row r="30" spans="1:9" x14ac:dyDescent="0.3">
      <c r="A30" s="389"/>
      <c r="B30" s="95" t="str">
        <f>Compilation!U14</f>
        <v>Dupont</v>
      </c>
      <c r="C30" s="96" t="str">
        <f>Compilation!V14</f>
        <v>Cuiller à olives (2)</v>
      </c>
      <c r="D30" s="107">
        <f>Compilation!Z14</f>
        <v>57.966666666666669</v>
      </c>
      <c r="E30" s="97">
        <f>Compilation!AB14</f>
        <v>1074.0736263599999</v>
      </c>
      <c r="F30" s="249">
        <f t="shared" si="0"/>
        <v>18.529159741690624</v>
      </c>
      <c r="G30" s="113"/>
      <c r="H30" s="108"/>
      <c r="I30" s="111"/>
    </row>
    <row r="31" spans="1:9" x14ac:dyDescent="0.3">
      <c r="A31" s="241">
        <f>E31</f>
        <v>2685.4435039739997</v>
      </c>
      <c r="B31" s="95" t="str">
        <f>Compilation!U7</f>
        <v>Foucault</v>
      </c>
      <c r="C31" s="96" t="str">
        <f>Compilation!V7</f>
        <v>Couteau (6)</v>
      </c>
      <c r="D31" s="107">
        <f>Compilation!Z7</f>
        <v>76.95</v>
      </c>
      <c r="E31" s="97">
        <f>Compilation!AB7</f>
        <v>2685.4435039739997</v>
      </c>
      <c r="F31" s="249">
        <f t="shared" si="0"/>
        <v>34.898551058791419</v>
      </c>
      <c r="G31" s="113" t="str">
        <f>Compilation!AC7</f>
        <v>Manche vermeil lame de fer</v>
      </c>
      <c r="H31" s="108"/>
      <c r="I31" s="111"/>
    </row>
    <row r="32" spans="1:9" x14ac:dyDescent="0.3">
      <c r="A32" s="241">
        <f>E32</f>
        <v>2533.41279261</v>
      </c>
      <c r="B32" s="95" t="str">
        <f>Compilation!U6</f>
        <v>Saint-Louis</v>
      </c>
      <c r="C32" s="96" t="str">
        <f>Compilation!V6</f>
        <v>Couteau (4)</v>
      </c>
      <c r="D32" s="107">
        <f>Compilation!Z6</f>
        <v>36.25</v>
      </c>
      <c r="E32" s="97">
        <f>Compilation!AB6</f>
        <v>2533.41279261</v>
      </c>
      <c r="F32" s="249">
        <f t="shared" si="0"/>
        <v>69.887249451310339</v>
      </c>
      <c r="G32" s="113" t="str">
        <f>Compilation!AC6</f>
        <v>Manche argent adjugés sans poids</v>
      </c>
      <c r="H32" s="108"/>
      <c r="I32" s="111"/>
    </row>
    <row r="33" spans="1:9" x14ac:dyDescent="0.3">
      <c r="A33" s="241">
        <f>E33</f>
        <v>1783.6367587499999</v>
      </c>
      <c r="B33" s="95" t="str">
        <f>Compilation!U9</f>
        <v>Bailly</v>
      </c>
      <c r="C33" s="96" t="str">
        <f>Compilation!V9</f>
        <v>Cuiller Fourchette (2+2) (4)</v>
      </c>
      <c r="D33" s="107">
        <f>Compilation!Z9</f>
        <v>91</v>
      </c>
      <c r="E33" s="97">
        <f>Compilation!AB9</f>
        <v>1783.6367587499999</v>
      </c>
      <c r="F33" s="249">
        <f t="shared" si="0"/>
        <v>19.60040394230769</v>
      </c>
      <c r="G33" s="113"/>
      <c r="H33" s="108"/>
      <c r="I33" s="111"/>
    </row>
    <row r="34" spans="1:9" x14ac:dyDescent="0.3">
      <c r="A34" s="241">
        <f>E34</f>
        <v>1499.8115057939997</v>
      </c>
      <c r="B34" s="95" t="str">
        <f>Compilation!U16</f>
        <v>Francheville</v>
      </c>
      <c r="C34" s="96" t="str">
        <f>Compilation!V16</f>
        <v>Cuiller à potage (1)</v>
      </c>
      <c r="D34" s="107">
        <f>Compilation!Z16</f>
        <v>67.75</v>
      </c>
      <c r="E34" s="97">
        <f>Compilation!AB16</f>
        <v>1499.8115057939997</v>
      </c>
      <c r="F34" s="249">
        <f t="shared" si="0"/>
        <v>22.137439199911434</v>
      </c>
      <c r="G34" s="113"/>
      <c r="H34" s="108"/>
      <c r="I34" s="111"/>
    </row>
    <row r="35" spans="1:9" x14ac:dyDescent="0.3">
      <c r="A35" s="241">
        <f>E35</f>
        <v>1388.2531339739999</v>
      </c>
      <c r="B35" s="95" t="str">
        <f>Compilation!U13</f>
        <v>Deschaillons</v>
      </c>
      <c r="C35" s="96" t="str">
        <f>Compilation!V13</f>
        <v>Cuiller (3)</v>
      </c>
      <c r="D35" s="107">
        <f>Compilation!Z13</f>
        <v>55.7</v>
      </c>
      <c r="E35" s="97">
        <f>Compilation!AB13</f>
        <v>1388.2531339739999</v>
      </c>
      <c r="F35" s="249">
        <f t="shared" si="0"/>
        <v>24.923754649443442</v>
      </c>
      <c r="G35" s="113"/>
      <c r="H35" s="108"/>
      <c r="I35" s="111"/>
    </row>
    <row r="36" spans="1:9" s="8" customFormat="1" ht="13.5" x14ac:dyDescent="0.3">
      <c r="A36" s="242">
        <f>SUM(A2:A35)</f>
        <v>194220.27151980603</v>
      </c>
      <c r="B36" s="6">
        <f>COUNTA(A2:A35)</f>
        <v>23</v>
      </c>
      <c r="D36" s="243">
        <f>SUM(D2:D35)</f>
        <v>8136.2333333333336</v>
      </c>
      <c r="E36" s="253">
        <f>SUM(E2:E35)</f>
        <v>194220.27151980606</v>
      </c>
      <c r="F36" s="250" t="s">
        <v>82</v>
      </c>
      <c r="G36" s="114"/>
      <c r="I36" s="76"/>
    </row>
    <row r="37" spans="1:9" ht="15.5" thickBot="1" x14ac:dyDescent="0.35">
      <c r="A37" s="244" t="str">
        <f>IF(E36=Compilation!AB41,"✓","NON")</f>
        <v>✓</v>
      </c>
      <c r="B37" s="245"/>
      <c r="C37" s="246"/>
      <c r="D37" s="247" t="str">
        <f>IF(D36=Compilation!Z41,"✓","NON")</f>
        <v>✓</v>
      </c>
      <c r="E37" s="254" t="str">
        <f>IF(E36=Compilation!AB41,"✓","NON")</f>
        <v>✓</v>
      </c>
      <c r="F37" s="251">
        <f>AVERAGE(F2:F35)</f>
        <v>24.815489542088329</v>
      </c>
    </row>
    <row r="38" spans="1:9" ht="15.5" thickTop="1" x14ac:dyDescent="0.3">
      <c r="E38" s="131"/>
    </row>
    <row r="39" spans="1:9" x14ac:dyDescent="0.3">
      <c r="E39" s="131"/>
    </row>
    <row r="40" spans="1:9" x14ac:dyDescent="0.3">
      <c r="E40" s="131"/>
    </row>
    <row r="41" spans="1:9" x14ac:dyDescent="0.3">
      <c r="E41" s="131"/>
    </row>
    <row r="42" spans="1:9" x14ac:dyDescent="0.3">
      <c r="E42" s="131"/>
    </row>
    <row r="43" spans="1:9" x14ac:dyDescent="0.3">
      <c r="E43" s="131"/>
    </row>
    <row r="44" spans="1:9" x14ac:dyDescent="0.3">
      <c r="E44" s="131"/>
    </row>
    <row r="45" spans="1:9" x14ac:dyDescent="0.3">
      <c r="E45" s="131"/>
    </row>
    <row r="46" spans="1:9" x14ac:dyDescent="0.3">
      <c r="E46" s="131"/>
    </row>
    <row r="47" spans="1:9" x14ac:dyDescent="0.3">
      <c r="E47" s="131"/>
    </row>
  </sheetData>
  <mergeCells count="11">
    <mergeCell ref="A16:A17"/>
    <mergeCell ref="A2:A5"/>
    <mergeCell ref="A29:A30"/>
    <mergeCell ref="A6:A8"/>
    <mergeCell ref="A10:A11"/>
    <mergeCell ref="A12:A15"/>
    <mergeCell ref="H2:H5"/>
    <mergeCell ref="H6:H8"/>
    <mergeCell ref="H10:H11"/>
    <mergeCell ref="H12:H15"/>
    <mergeCell ref="H16:H17"/>
  </mergeCells>
  <hyperlinks>
    <hyperlink ref="I2" r:id="rId1" xr:uid="{D39D23B4-E2A1-421E-9778-547F77708DE0}"/>
    <hyperlink ref="I6" r:id="rId2" xr:uid="{22BF498C-8B0C-455A-98D0-CAF58088925C}"/>
    <hyperlink ref="I9" r:id="rId3" xr:uid="{C4DFAABA-6493-433C-93C2-DA84A394C3D2}"/>
    <hyperlink ref="I10" r:id="rId4" xr:uid="{F0D6AEA7-B7D1-475F-8A31-36C165F0EFAA}"/>
    <hyperlink ref="I16" r:id="rId5" xr:uid="{609BCBD0-EA21-4DFA-BEB7-40CFB239053C}"/>
    <hyperlink ref="I12" r:id="rId6" display="https://www.google.com/search?q=Personnage+nomm%C3%A9+Walon+en+Nouvelle-France+vers+1730&amp;num=10&amp;newwindow=1&amp;sca_esv=28e22e78b1f4eede&amp;rlz=1C1GCEA_enCA1194CA1194&amp;sxsrf=APpeQnvG-Vk0woekGgwdYqDwSMuljcx0kA%3A1785091118451&amp;ei=LlRmapyPG62mruEPh_uDgAQ&amp;biw=1150&amp;bih=550&amp;ved=0ahUKEwic3obQ_vCVAxUtkysGHYf9AEAQ4dUDCBA&amp;uact=5&amp;oq=Personnage+nomm%C3%A9+Walon+en+Nouvelle-France+vers+1730 &amp;gs_lp=Egxnd3Mtd2l6LXNlcnAiNFBlcnNvbm5hZ2Ugbm9tbcOpIFdhbG9uIGVuIE5vdXZlbGxlLUZyYW5jZSB2ZXJzIDE3MzAyBRAhGJ8FSPZ6UMMVWJ52cAR4AZABAJgBpgGgAeIqqgEFMTQuMzW4AQPIAQD4AQH4AQKYAjWgAt4rqAIKwgIKEAAYRxjWBBiwA8ICBxAjGOoCGCfCAg0QIxjwBRieBhjqAhgnwgINECMY8AUYyQIY6gIYJ8ICChAjGPAFGOoCGCfCAgoQIxjwBRjJAhgnwgIEECMYJ8ICChAAGIAEGIoFGEPCAg4QABiABBiKBRixAxiDAcICBRAAGIAEwgIOEC4YgAQYsQMYxwEY0QPCAggQABiABBixA8ICChAjGJ4GGPAFGCfCAgsQABiABBixAxiDAcICDRAAGIAEGIoFGEMYsQPCAgoQLhiABBiKBRhDwgIIEC4YsQMYgATCAggQLhiABBixA8ICCBAuGMsBGIAEwgIIEAAYgAQYywHCAggQLhiABBjLAcICBRAuGIAEwgIGEAAYFhgewgIHEAAYgAQYDcICBhAAGB4YDcICCBAAGIkFGKIEwgIIEAAYgAQYogTCAgUQABjvBcICBRAhGKABwgIEECEYFcICBxAhGAoYoAGYAwPxBecseqZgihWoiAYBkAYIkgcFMTYuMzegB43sAbIHBTEyLjM3uAfUK8IHBzIyLjMwLjHIB0WACAE&amp;sclient=gws-wiz-serp" xr:uid="{4F8B3C57-FBC2-4C4C-8464-6311BDDAC754}"/>
  </hyperlinks>
  <printOptions horizontalCentered="1"/>
  <pageMargins left="0.23622047244094491" right="0.23622047244094491" top="0.74803149606299213" bottom="0.74803149606299213" header="0.31496062992125984" footer="0.31496062992125984"/>
  <pageSetup scale="10" orientation="portrait"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91E9A-C797-4802-BC52-C7B62ADAD153}">
  <dimension ref="A1:J31"/>
  <sheetViews>
    <sheetView workbookViewId="0">
      <selection activeCell="C3" sqref="C3:D3"/>
    </sheetView>
  </sheetViews>
  <sheetFormatPr baseColWidth="10" defaultRowHeight="15" x14ac:dyDescent="0.3"/>
  <cols>
    <col min="1" max="1" width="25.3984375" bestFit="1" customWidth="1"/>
    <col min="2" max="2" width="5.53125" bestFit="1" customWidth="1"/>
    <col min="3" max="3" width="6.06640625" bestFit="1" customWidth="1"/>
    <col min="4" max="4" width="7.86328125" bestFit="1" customWidth="1"/>
    <col min="5" max="5" width="6.796875" bestFit="1" customWidth="1"/>
    <col min="6" max="6" width="6.06640625" bestFit="1" customWidth="1"/>
    <col min="7" max="7" width="4.796875" bestFit="1" customWidth="1"/>
    <col min="8" max="8" width="8.796875" bestFit="1" customWidth="1"/>
    <col min="9" max="9" width="10.86328125" bestFit="1" customWidth="1"/>
    <col min="10" max="10" width="40" bestFit="1" customWidth="1"/>
  </cols>
  <sheetData>
    <row r="1" spans="1:10" x14ac:dyDescent="0.3">
      <c r="A1" s="1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/>
      <c r="H1" s="3"/>
      <c r="I1" s="2"/>
    </row>
    <row r="2" spans="1:10" x14ac:dyDescent="0.3">
      <c r="A2" s="4" t="s">
        <v>17</v>
      </c>
      <c r="B2" s="5">
        <v>1</v>
      </c>
      <c r="C2" s="5">
        <v>8</v>
      </c>
      <c r="D2" s="5">
        <v>8</v>
      </c>
      <c r="E2" s="5">
        <v>3</v>
      </c>
      <c r="F2" s="5">
        <v>24</v>
      </c>
      <c r="G2" s="6"/>
      <c r="H2" s="276"/>
      <c r="I2" s="6"/>
      <c r="J2" s="8"/>
    </row>
    <row r="3" spans="1:10" x14ac:dyDescent="0.3">
      <c r="A3" s="4" t="s">
        <v>18</v>
      </c>
      <c r="B3" s="5">
        <v>1</v>
      </c>
      <c r="C3" s="9">
        <f>B3/C2</f>
        <v>0.125</v>
      </c>
      <c r="D3" s="9">
        <f t="shared" ref="D3:F3" si="0">C3/D2</f>
        <v>1.5625E-2</v>
      </c>
      <c r="E3" s="9">
        <f t="shared" si="0"/>
        <v>5.208333333333333E-3</v>
      </c>
      <c r="F3" s="9">
        <f t="shared" si="0"/>
        <v>2.1701388888888888E-4</v>
      </c>
      <c r="G3" s="6"/>
      <c r="H3" s="7"/>
      <c r="I3" s="6"/>
      <c r="J3" s="8"/>
    </row>
    <row r="4" spans="1:10" x14ac:dyDescent="0.3">
      <c r="A4" s="10"/>
      <c r="B4" s="11"/>
      <c r="C4" s="11"/>
      <c r="D4" s="11"/>
      <c r="E4" s="11"/>
      <c r="F4" s="11"/>
      <c r="G4" s="11"/>
      <c r="H4" s="11"/>
      <c r="I4" s="12"/>
      <c r="J4" s="2"/>
    </row>
    <row r="5" spans="1:10" x14ac:dyDescent="0.3">
      <c r="A5" s="13"/>
      <c r="B5" s="14" t="str">
        <f>B1</f>
        <v>Marc</v>
      </c>
      <c r="C5" s="14" t="str">
        <f t="shared" ref="C5:F5" si="1">C1</f>
        <v>Once</v>
      </c>
      <c r="D5" s="14" t="str">
        <f t="shared" si="1"/>
        <v>Gros</v>
      </c>
      <c r="E5" s="14" t="str">
        <f t="shared" si="1"/>
        <v>Denier</v>
      </c>
      <c r="F5" s="14" t="str">
        <f t="shared" si="1"/>
        <v>Grain</v>
      </c>
      <c r="G5" s="15" t="s">
        <v>19</v>
      </c>
      <c r="H5" s="15" t="s">
        <v>20</v>
      </c>
      <c r="I5" s="3" t="s">
        <v>21</v>
      </c>
    </row>
    <row r="6" spans="1:10" ht="17.5" x14ac:dyDescent="0.35">
      <c r="A6" s="16"/>
      <c r="B6" s="17"/>
      <c r="C6" s="17"/>
      <c r="D6" s="17"/>
      <c r="E6" s="17"/>
      <c r="F6" s="17"/>
      <c r="G6" s="18"/>
      <c r="H6" s="18"/>
      <c r="I6" s="18"/>
      <c r="J6" s="19" t="s">
        <v>22</v>
      </c>
    </row>
    <row r="7" spans="1:10" ht="17.5" x14ac:dyDescent="0.35">
      <c r="A7" s="20" t="s">
        <v>23</v>
      </c>
      <c r="B7" s="21">
        <f>B6*B3</f>
        <v>0</v>
      </c>
      <c r="C7" s="22">
        <f>C6*C3</f>
        <v>0</v>
      </c>
      <c r="D7" s="22">
        <f t="shared" ref="D7:F7" si="2">D6*D3</f>
        <v>0</v>
      </c>
      <c r="E7" s="22">
        <f t="shared" si="2"/>
        <v>0</v>
      </c>
      <c r="F7" s="21">
        <f t="shared" si="2"/>
        <v>0</v>
      </c>
      <c r="G7" s="21">
        <f>SUM(B7:F7)</f>
        <v>0</v>
      </c>
      <c r="H7" s="22">
        <v>244.75290000000001</v>
      </c>
      <c r="I7" s="23">
        <f>G7*H7</f>
        <v>0</v>
      </c>
      <c r="J7" t="s">
        <v>24</v>
      </c>
    </row>
    <row r="8" spans="1:10" x14ac:dyDescent="0.3">
      <c r="A8" s="10"/>
      <c r="B8" s="11"/>
      <c r="C8" s="11"/>
      <c r="D8" s="11"/>
      <c r="E8" s="11"/>
      <c r="F8" s="11"/>
      <c r="G8" s="11"/>
      <c r="H8" s="11"/>
      <c r="I8" s="12"/>
    </row>
    <row r="9" spans="1:10" ht="17.5" x14ac:dyDescent="0.35">
      <c r="A9" s="18" t="str">
        <f>"=&gt;"</f>
        <v>=&gt;</v>
      </c>
      <c r="B9" s="18" t="str">
        <f>"=&gt;"</f>
        <v>=&gt;</v>
      </c>
      <c r="C9" s="18" t="str">
        <f t="shared" ref="C9:H9" si="3">"=&gt;"</f>
        <v>=&gt;</v>
      </c>
      <c r="D9" s="18" t="str">
        <f t="shared" si="3"/>
        <v>=&gt;</v>
      </c>
      <c r="E9" s="18" t="str">
        <f t="shared" si="3"/>
        <v>=&gt;</v>
      </c>
      <c r="F9" s="18" t="str">
        <f t="shared" si="3"/>
        <v>=&gt;</v>
      </c>
      <c r="G9" s="18" t="str">
        <f t="shared" si="3"/>
        <v>=&gt;</v>
      </c>
      <c r="H9" s="18" t="str">
        <f t="shared" si="3"/>
        <v>=&gt;</v>
      </c>
      <c r="I9" s="24"/>
      <c r="J9" s="19" t="s">
        <v>25</v>
      </c>
    </row>
    <row r="10" spans="1:10" ht="17.5" x14ac:dyDescent="0.35">
      <c r="A10" s="20" t="s">
        <v>26</v>
      </c>
      <c r="B10" s="21">
        <f>B14</f>
        <v>0</v>
      </c>
      <c r="C10" s="21">
        <f>C17</f>
        <v>0</v>
      </c>
      <c r="D10" s="21">
        <f>D20</f>
        <v>0</v>
      </c>
      <c r="E10" s="21">
        <f>E23</f>
        <v>0</v>
      </c>
      <c r="F10" s="21">
        <f>F26</f>
        <v>0</v>
      </c>
      <c r="G10" s="21">
        <f>I9/H7</f>
        <v>0</v>
      </c>
      <c r="H10" s="22">
        <v>244.75290000000001</v>
      </c>
      <c r="I10" s="18"/>
      <c r="J10" s="25" t="str">
        <f>CONCATENATE(IF(B10&gt;0,B10,""),IF(B10&gt;0," marc ",""),IF(C10&gt;0,C10,""),IF(C10&gt;0," onces ",""),IF(D10&gt;0,D10,""),IF(D10&gt;0," gros ",""),IF(E10&gt;0,E10,""),IF(E10&gt;0," deniers ",""),IF(F10&gt;0,F10,""),IF(F10&gt;0," grains",""))</f>
        <v/>
      </c>
    </row>
    <row r="11" spans="1:10" ht="15.5" x14ac:dyDescent="0.35">
      <c r="A11" s="10"/>
      <c r="B11" s="11"/>
      <c r="C11" s="11"/>
      <c r="D11" s="11"/>
      <c r="E11" s="11"/>
      <c r="F11" s="11"/>
      <c r="G11" s="11"/>
      <c r="H11" s="11"/>
      <c r="I11" s="12"/>
      <c r="J11" t="s">
        <v>27</v>
      </c>
    </row>
    <row r="12" spans="1:10" x14ac:dyDescent="0.3">
      <c r="A12" s="26" t="s">
        <v>28</v>
      </c>
      <c r="B12" s="2"/>
      <c r="C12" s="2"/>
      <c r="D12" s="2"/>
      <c r="E12" s="2"/>
      <c r="F12" s="2"/>
      <c r="G12" s="2"/>
      <c r="H12" s="3"/>
      <c r="I12" s="2"/>
    </row>
    <row r="13" spans="1:10" x14ac:dyDescent="0.3">
      <c r="A13" s="27" t="s">
        <v>29</v>
      </c>
      <c r="B13" s="28">
        <f>G10</f>
        <v>0</v>
      </c>
      <c r="C13" s="15"/>
      <c r="D13" s="15"/>
      <c r="E13" s="15"/>
      <c r="F13" s="15"/>
      <c r="G13" s="15"/>
      <c r="H13" s="29"/>
      <c r="I13" s="15"/>
      <c r="J13" s="30"/>
    </row>
    <row r="14" spans="1:10" x14ac:dyDescent="0.3">
      <c r="A14" s="20" t="s">
        <v>30</v>
      </c>
      <c r="B14" s="21">
        <f>ROUNDDOWN(B13,0)</f>
        <v>0</v>
      </c>
      <c r="C14" s="15"/>
      <c r="D14" s="15"/>
      <c r="E14" s="15"/>
      <c r="F14" s="15"/>
      <c r="G14" s="15"/>
      <c r="H14" s="29"/>
      <c r="I14" s="15"/>
      <c r="J14" s="30"/>
    </row>
    <row r="15" spans="1:10" x14ac:dyDescent="0.3">
      <c r="A15" s="27" t="s">
        <v>31</v>
      </c>
      <c r="B15" s="28">
        <f>B13-B14</f>
        <v>0</v>
      </c>
      <c r="C15" s="15"/>
      <c r="D15" s="15"/>
      <c r="E15" s="15"/>
      <c r="F15" s="15"/>
      <c r="G15" s="15"/>
      <c r="H15" s="29"/>
      <c r="I15" s="15"/>
      <c r="J15" s="30"/>
    </row>
    <row r="16" spans="1:10" x14ac:dyDescent="0.3">
      <c r="A16" s="27" t="s">
        <v>13</v>
      </c>
      <c r="B16" s="15"/>
      <c r="C16" s="28">
        <f>B15/C$3</f>
        <v>0</v>
      </c>
      <c r="D16" s="15"/>
      <c r="E16" s="15"/>
      <c r="F16" s="15"/>
      <c r="G16" s="15"/>
      <c r="H16" s="29"/>
      <c r="I16" s="15"/>
      <c r="J16" s="30"/>
    </row>
    <row r="17" spans="1:10" x14ac:dyDescent="0.3">
      <c r="A17" s="20" t="s">
        <v>32</v>
      </c>
      <c r="B17" s="21"/>
      <c r="C17" s="21">
        <f>ROUNDDOWN(C16,0)</f>
        <v>0</v>
      </c>
      <c r="D17" s="15"/>
      <c r="E17" s="15"/>
      <c r="F17" s="15"/>
      <c r="G17" s="15"/>
      <c r="H17" s="29"/>
      <c r="I17" s="15"/>
      <c r="J17" s="30"/>
    </row>
    <row r="18" spans="1:10" x14ac:dyDescent="0.3">
      <c r="A18" s="27" t="s">
        <v>31</v>
      </c>
      <c r="B18" s="15"/>
      <c r="C18" s="28">
        <f>C16-C17</f>
        <v>0</v>
      </c>
      <c r="D18" s="15"/>
      <c r="E18" s="15"/>
      <c r="F18" s="15"/>
      <c r="G18" s="15"/>
      <c r="H18" s="29"/>
      <c r="I18" s="15"/>
      <c r="J18" s="30"/>
    </row>
    <row r="19" spans="1:10" x14ac:dyDescent="0.3">
      <c r="A19" s="27" t="s">
        <v>14</v>
      </c>
      <c r="B19" s="15"/>
      <c r="C19" s="15"/>
      <c r="D19" s="28">
        <f>C18/D$3/8</f>
        <v>0</v>
      </c>
      <c r="E19" s="15"/>
      <c r="F19" s="15"/>
      <c r="G19" s="15"/>
      <c r="H19" s="29"/>
      <c r="I19" s="15"/>
      <c r="J19" s="30"/>
    </row>
    <row r="20" spans="1:10" x14ac:dyDescent="0.3">
      <c r="A20" s="20" t="s">
        <v>33</v>
      </c>
      <c r="B20" s="21"/>
      <c r="C20" s="21"/>
      <c r="D20" s="21">
        <f>ROUNDDOWN(D19,0)</f>
        <v>0</v>
      </c>
      <c r="E20" s="15"/>
      <c r="F20" s="15"/>
      <c r="G20" s="2"/>
      <c r="H20" s="3"/>
      <c r="I20" s="2"/>
    </row>
    <row r="21" spans="1:10" x14ac:dyDescent="0.3">
      <c r="A21" s="27" t="s">
        <v>31</v>
      </c>
      <c r="B21" s="15"/>
      <c r="C21" s="15"/>
      <c r="D21" s="28">
        <f>D19-D20</f>
        <v>0</v>
      </c>
      <c r="E21" s="15"/>
      <c r="F21" s="15"/>
      <c r="G21" s="2"/>
      <c r="H21" s="3"/>
      <c r="I21" s="2"/>
    </row>
    <row r="22" spans="1:10" x14ac:dyDescent="0.3">
      <c r="A22" s="27" t="s">
        <v>15</v>
      </c>
      <c r="B22" s="15"/>
      <c r="C22" s="15"/>
      <c r="D22" s="15"/>
      <c r="E22" s="28">
        <f>IF(AND(D21&lt;0.334,D21&gt;0.333),0.3334/E$3/8/8,D21/E$3/8/8)</f>
        <v>0</v>
      </c>
      <c r="F22" s="15"/>
      <c r="G22" s="2"/>
      <c r="H22" s="3"/>
      <c r="I22" s="2"/>
    </row>
    <row r="23" spans="1:10" x14ac:dyDescent="0.3">
      <c r="A23" s="20" t="s">
        <v>34</v>
      </c>
      <c r="B23" s="21"/>
      <c r="C23" s="21"/>
      <c r="D23" s="21"/>
      <c r="E23" s="21">
        <f>ROUNDDOWN(E22,0)</f>
        <v>0</v>
      </c>
      <c r="F23" s="15"/>
      <c r="G23" s="2"/>
      <c r="H23" s="3"/>
      <c r="I23" s="2"/>
    </row>
    <row r="24" spans="1:10" x14ac:dyDescent="0.3">
      <c r="A24" s="27" t="s">
        <v>31</v>
      </c>
      <c r="B24" s="15"/>
      <c r="C24" s="15"/>
      <c r="D24" s="15"/>
      <c r="E24" s="28">
        <f>E22-E23</f>
        <v>0</v>
      </c>
      <c r="F24" s="15"/>
      <c r="G24" s="2"/>
      <c r="H24" s="3"/>
      <c r="I24" s="2"/>
    </row>
    <row r="25" spans="1:10" x14ac:dyDescent="0.3">
      <c r="A25" s="27" t="s">
        <v>16</v>
      </c>
      <c r="B25" s="15"/>
      <c r="C25" s="15"/>
      <c r="D25" s="15"/>
      <c r="E25" s="15"/>
      <c r="F25" s="15">
        <f>E24/F$3/8/8/3</f>
        <v>0</v>
      </c>
      <c r="G25" s="2"/>
      <c r="H25" s="3"/>
      <c r="I25" s="2"/>
    </row>
    <row r="26" spans="1:10" x14ac:dyDescent="0.3">
      <c r="A26" s="20" t="s">
        <v>35</v>
      </c>
      <c r="B26" s="21"/>
      <c r="C26" s="21"/>
      <c r="D26" s="21"/>
      <c r="E26" s="21"/>
      <c r="F26" s="21">
        <f>ROUND(F25,0)</f>
        <v>0</v>
      </c>
      <c r="G26" s="2"/>
      <c r="H26" s="3"/>
      <c r="I26" s="2"/>
    </row>
    <row r="27" spans="1:10" x14ac:dyDescent="0.3">
      <c r="A27" s="10"/>
      <c r="B27" s="11"/>
      <c r="C27" s="11"/>
      <c r="D27" s="11"/>
      <c r="E27" s="11"/>
      <c r="F27" s="11"/>
      <c r="G27" s="11"/>
      <c r="H27" s="11"/>
      <c r="I27" s="12"/>
    </row>
    <row r="28" spans="1:10" x14ac:dyDescent="0.3">
      <c r="A28" s="13"/>
      <c r="B28" s="2"/>
      <c r="C28" s="2"/>
      <c r="D28" s="31" t="s">
        <v>36</v>
      </c>
      <c r="E28" s="31">
        <f>D27/E$3/8/8</f>
        <v>0</v>
      </c>
      <c r="F28" s="2"/>
      <c r="G28" s="2"/>
      <c r="H28" s="3"/>
      <c r="I28" s="2"/>
    </row>
    <row r="29" spans="1:10" x14ac:dyDescent="0.3">
      <c r="A29" s="13"/>
      <c r="B29" s="2"/>
      <c r="C29" s="2"/>
      <c r="D29" s="32"/>
      <c r="E29" s="32"/>
      <c r="F29" s="2"/>
      <c r="G29" s="2"/>
      <c r="H29" s="3"/>
      <c r="I29" s="2"/>
    </row>
    <row r="30" spans="1:10" x14ac:dyDescent="0.3">
      <c r="A30" s="13"/>
      <c r="B30" s="2"/>
      <c r="C30" s="2"/>
      <c r="D30" s="31" t="s">
        <v>36</v>
      </c>
      <c r="E30" s="33">
        <f>IF(AND(D29&lt;0.334,D29&gt;0.333),0.3334/E$3/8/8,D29/E$3/8/8)</f>
        <v>0</v>
      </c>
      <c r="F30" s="2"/>
      <c r="G30" s="2"/>
      <c r="H30" s="3"/>
      <c r="I30" s="2"/>
    </row>
    <row r="31" spans="1:10" x14ac:dyDescent="0.3">
      <c r="A31" s="10"/>
      <c r="B31" s="11"/>
      <c r="C31" s="11"/>
      <c r="D31" s="11"/>
      <c r="E31" s="11"/>
      <c r="F31" s="11"/>
      <c r="G31" s="11"/>
      <c r="H31" s="11"/>
      <c r="I3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Compilation</vt:lpstr>
      <vt:lpstr>Abréviations</vt:lpstr>
      <vt:lpstr>Objets</vt:lpstr>
      <vt:lpstr>Assiettes</vt:lpstr>
      <vt:lpstr>ArgDor</vt:lpstr>
      <vt:lpstr>$CAN</vt:lpstr>
      <vt:lpstr>Vd</vt:lpstr>
      <vt:lpstr>Acheteurs</vt:lpstr>
      <vt:lpstr>Marc</vt:lpstr>
      <vt:lpstr>pdf</vt:lpstr>
      <vt:lpstr>#dv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DEROME</dc:creator>
  <cp:lastModifiedBy>Robert DEROME</cp:lastModifiedBy>
  <cp:lastPrinted>2026-08-13T19:47:14Z</cp:lastPrinted>
  <dcterms:created xsi:type="dcterms:W3CDTF">2026-07-24T14:36:41Z</dcterms:created>
  <dcterms:modified xsi:type="dcterms:W3CDTF">2026-08-13T23:30:54Z</dcterms:modified>
</cp:coreProperties>
</file>